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ables/table2.xml" ContentType="application/vnd.openxmlformats-officedocument.spreadsheetml.table+xml"/>
  <Override PartName="/xl/comments1.xml" ContentType="application/vnd.openxmlformats-officedocument.spreadsheetml.comments+xml"/>
  <Override PartName="/xl/tables/table3.xml" ContentType="application/vnd.openxmlformats-officedocument.spreadsheetml.tab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codeName="{C999D3B4-68BB-379E-E534-F0D661931E69}"/>
  <workbookPr codeName="ThisWorkbook"/>
  <mc:AlternateContent xmlns:mc="http://schemas.openxmlformats.org/markup-compatibility/2006">
    <mc:Choice Requires="x15">
      <x15ac:absPath xmlns:x15ac="http://schemas.microsoft.com/office/spreadsheetml/2010/11/ac" url="C:\Users\jiayi.hou\Desktop\Defect Tracking\"/>
    </mc:Choice>
  </mc:AlternateContent>
  <bookViews>
    <workbookView xWindow="0" yWindow="0" windowWidth="23040" windowHeight="9408" firstSheet="3" activeTab="3"/>
  </bookViews>
  <sheets>
    <sheet name="Data Validation" sheetId="11" state="hidden" r:id="rId1"/>
    <sheet name="Defect Statistics Dashboard" sheetId="9" state="hidden" r:id="rId2"/>
    <sheet name="Age Data (Hidden)" sheetId="2" state="hidden" r:id="rId3"/>
    <sheet name="Dashboard" sheetId="10" r:id="rId4"/>
    <sheet name="Open Defects" sheetId="1" r:id="rId5"/>
    <sheet name="Legend" sheetId="12" r:id="rId6"/>
    <sheet name="Delivered Defects" sheetId="13" state="hidden" r:id="rId7"/>
    <sheet name="Prioritization Calculations" sheetId="5" state="hidden" r:id="rId8"/>
    <sheet name="Prioritization Scoring Weights" sheetId="4" state="hidden" r:id="rId9"/>
  </sheets>
  <functionGroups builtInGroupCount="18"/>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97" i="2" l="1"/>
  <c r="J97" i="2"/>
  <c r="K97" i="2"/>
  <c r="L97" i="2"/>
  <c r="M97" i="2"/>
  <c r="N97" i="2"/>
  <c r="O97" i="2"/>
  <c r="P97" i="2"/>
  <c r="Q97" i="2"/>
  <c r="R97" i="2"/>
  <c r="S97" i="2"/>
  <c r="T97" i="2"/>
  <c r="U97" i="2"/>
  <c r="V97" i="2"/>
  <c r="W97" i="2"/>
  <c r="X97" i="2"/>
  <c r="O75" i="1"/>
  <c r="H96" i="2" l="1"/>
  <c r="J96" i="2"/>
  <c r="K96" i="2"/>
  <c r="L96" i="2"/>
  <c r="M96" i="2"/>
  <c r="N96" i="2"/>
  <c r="O96" i="2"/>
  <c r="P96" i="2"/>
  <c r="Q96" i="2"/>
  <c r="R96" i="2"/>
  <c r="S96" i="2"/>
  <c r="T96" i="2"/>
  <c r="U96" i="2"/>
  <c r="V96" i="2"/>
  <c r="W96" i="2"/>
  <c r="X96" i="2"/>
  <c r="B71" i="5"/>
  <c r="B72" i="5"/>
  <c r="B73" i="5"/>
  <c r="B74" i="5"/>
  <c r="B75" i="5"/>
  <c r="C71" i="5"/>
  <c r="C72" i="5"/>
  <c r="C73" i="5"/>
  <c r="C74" i="5"/>
  <c r="C75" i="5"/>
  <c r="D71" i="5"/>
  <c r="D72" i="5"/>
  <c r="D73" i="5"/>
  <c r="D74" i="5"/>
  <c r="D75" i="5"/>
  <c r="E71" i="5"/>
  <c r="E72" i="5"/>
  <c r="E73" i="5"/>
  <c r="E74" i="5"/>
  <c r="E75" i="5"/>
  <c r="F71" i="5"/>
  <c r="F72" i="5"/>
  <c r="F73" i="5"/>
  <c r="F74" i="5"/>
  <c r="F75" i="5"/>
  <c r="G71" i="5"/>
  <c r="G72" i="5"/>
  <c r="G73" i="5"/>
  <c r="G74" i="5"/>
  <c r="G75" i="5"/>
  <c r="H71" i="5"/>
  <c r="H72" i="5"/>
  <c r="H73" i="5"/>
  <c r="H74" i="5"/>
  <c r="H75" i="5"/>
  <c r="A65" i="5"/>
  <c r="B65" i="5" s="1"/>
  <c r="A66" i="5"/>
  <c r="H66" i="5" s="1"/>
  <c r="A67" i="5"/>
  <c r="C67" i="5" s="1"/>
  <c r="A68" i="5"/>
  <c r="D68" i="5" s="1"/>
  <c r="A69" i="5"/>
  <c r="B69" i="5" s="1"/>
  <c r="A70" i="5"/>
  <c r="E70" i="5" s="1"/>
  <c r="A71" i="5"/>
  <c r="A72" i="5"/>
  <c r="A73" i="5"/>
  <c r="A74" i="5"/>
  <c r="A75" i="5"/>
  <c r="A64" i="5"/>
  <c r="E64" i="5" s="1"/>
  <c r="H95" i="2"/>
  <c r="J95" i="2"/>
  <c r="K95" i="2"/>
  <c r="L95" i="2"/>
  <c r="M95" i="2"/>
  <c r="N95" i="2"/>
  <c r="O95" i="2"/>
  <c r="P95" i="2"/>
  <c r="Q95" i="2"/>
  <c r="R95" i="2"/>
  <c r="S95" i="2"/>
  <c r="T95" i="2"/>
  <c r="U95" i="2"/>
  <c r="V95" i="2"/>
  <c r="W95" i="2"/>
  <c r="X95" i="2"/>
  <c r="O50" i="1"/>
  <c r="H67" i="5" l="1"/>
  <c r="D64" i="5"/>
  <c r="G66" i="5"/>
  <c r="G64" i="5"/>
  <c r="B64" i="5"/>
  <c r="G70" i="5"/>
  <c r="D70" i="5"/>
  <c r="F64" i="5"/>
  <c r="H68" i="5"/>
  <c r="G67" i="5"/>
  <c r="E67" i="5"/>
  <c r="D66" i="5"/>
  <c r="E66" i="5"/>
  <c r="H64" i="5"/>
  <c r="C64" i="5"/>
  <c r="F69" i="5"/>
  <c r="F65" i="5"/>
  <c r="H69" i="5"/>
  <c r="H65" i="5"/>
  <c r="G68" i="5"/>
  <c r="F66" i="5"/>
  <c r="E68" i="5"/>
  <c r="D67" i="5"/>
  <c r="C70" i="5"/>
  <c r="C66" i="5"/>
  <c r="B68" i="5"/>
  <c r="C69" i="5"/>
  <c r="C65" i="5"/>
  <c r="B67" i="5"/>
  <c r="C68" i="5"/>
  <c r="B66" i="5"/>
  <c r="F68" i="5"/>
  <c r="D69" i="5"/>
  <c r="D65" i="5"/>
  <c r="H70" i="5"/>
  <c r="G69" i="5"/>
  <c r="G65" i="5"/>
  <c r="F67" i="5"/>
  <c r="E69" i="5"/>
  <c r="E65" i="5"/>
  <c r="F70" i="5"/>
  <c r="B70" i="5"/>
  <c r="I75" i="5"/>
  <c r="J75" i="5" s="1"/>
  <c r="I71" i="5"/>
  <c r="J71" i="5" s="1"/>
  <c r="I74" i="5"/>
  <c r="J74" i="5" s="1"/>
  <c r="I73" i="5"/>
  <c r="J73" i="5" s="1"/>
  <c r="I72" i="5"/>
  <c r="J72" i="5" s="1"/>
  <c r="O73" i="1"/>
  <c r="O72" i="1"/>
  <c r="O71" i="1"/>
  <c r="O70" i="1"/>
  <c r="O69" i="1"/>
  <c r="O49" i="1"/>
  <c r="H94" i="2"/>
  <c r="J94" i="2"/>
  <c r="K94" i="2"/>
  <c r="L94" i="2"/>
  <c r="M94" i="2"/>
  <c r="N94" i="2"/>
  <c r="O94" i="2"/>
  <c r="P94" i="2"/>
  <c r="Q94" i="2"/>
  <c r="R94" i="2"/>
  <c r="S94" i="2"/>
  <c r="T94" i="2"/>
  <c r="U94" i="2"/>
  <c r="V94" i="2"/>
  <c r="W94" i="2"/>
  <c r="X94" i="2"/>
  <c r="O44" i="1"/>
  <c r="H93" i="2"/>
  <c r="J93" i="2"/>
  <c r="K93" i="2"/>
  <c r="L93" i="2"/>
  <c r="M93" i="2"/>
  <c r="N93" i="2"/>
  <c r="O93" i="2"/>
  <c r="P93" i="2"/>
  <c r="Q93" i="2"/>
  <c r="R93" i="2"/>
  <c r="S93" i="2"/>
  <c r="T93" i="2"/>
  <c r="U93" i="2"/>
  <c r="V93" i="2"/>
  <c r="W93" i="2"/>
  <c r="X93" i="2"/>
  <c r="H92" i="2"/>
  <c r="J92" i="2"/>
  <c r="K92" i="2"/>
  <c r="L92" i="2"/>
  <c r="M92" i="2"/>
  <c r="N92" i="2"/>
  <c r="O92" i="2"/>
  <c r="P92" i="2"/>
  <c r="Q92" i="2"/>
  <c r="R92" i="2"/>
  <c r="S92" i="2"/>
  <c r="T92" i="2"/>
  <c r="U92" i="2"/>
  <c r="V92" i="2"/>
  <c r="W92" i="2"/>
  <c r="X92" i="2"/>
  <c r="A61" i="5"/>
  <c r="F61" i="5" s="1"/>
  <c r="A62" i="5"/>
  <c r="H62" i="5" s="1"/>
  <c r="A63" i="5"/>
  <c r="G63" i="5" s="1"/>
  <c r="O68" i="1"/>
  <c r="X3" i="2"/>
  <c r="X4" i="2"/>
  <c r="X5" i="2"/>
  <c r="X6" i="2"/>
  <c r="X7" i="2"/>
  <c r="X8" i="2"/>
  <c r="X9" i="2"/>
  <c r="X10" i="2"/>
  <c r="X11" i="2"/>
  <c r="X12" i="2"/>
  <c r="X13" i="2"/>
  <c r="X14" i="2"/>
  <c r="X15" i="2"/>
  <c r="X16" i="2"/>
  <c r="X17" i="2"/>
  <c r="X18" i="2"/>
  <c r="X19" i="2"/>
  <c r="X20" i="2"/>
  <c r="X21" i="2"/>
  <c r="X22" i="2"/>
  <c r="X23" i="2"/>
  <c r="X24" i="2"/>
  <c r="X25" i="2"/>
  <c r="X26" i="2"/>
  <c r="X27" i="2"/>
  <c r="X28" i="2"/>
  <c r="X29" i="2"/>
  <c r="X30" i="2"/>
  <c r="X31" i="2"/>
  <c r="X32" i="2"/>
  <c r="X33" i="2"/>
  <c r="X34" i="2"/>
  <c r="X35" i="2"/>
  <c r="X36" i="2"/>
  <c r="X37" i="2"/>
  <c r="X38" i="2"/>
  <c r="X39" i="2"/>
  <c r="X40" i="2"/>
  <c r="X41" i="2"/>
  <c r="X42" i="2"/>
  <c r="X43" i="2"/>
  <c r="X44" i="2"/>
  <c r="X45" i="2"/>
  <c r="X46" i="2"/>
  <c r="X47" i="2"/>
  <c r="X48" i="2"/>
  <c r="X49" i="2"/>
  <c r="X50" i="2"/>
  <c r="X51" i="2"/>
  <c r="X52" i="2"/>
  <c r="X53" i="2"/>
  <c r="X54" i="2"/>
  <c r="X55" i="2"/>
  <c r="X56" i="2"/>
  <c r="X57" i="2"/>
  <c r="X58" i="2"/>
  <c r="X59" i="2"/>
  <c r="X60" i="2"/>
  <c r="X61" i="2"/>
  <c r="X62" i="2"/>
  <c r="X63" i="2"/>
  <c r="X64" i="2"/>
  <c r="X65" i="2"/>
  <c r="X66" i="2"/>
  <c r="X67" i="2"/>
  <c r="X68" i="2"/>
  <c r="X69" i="2"/>
  <c r="X70" i="2"/>
  <c r="X71" i="2"/>
  <c r="X72" i="2"/>
  <c r="X73" i="2"/>
  <c r="X74" i="2"/>
  <c r="X75" i="2"/>
  <c r="X76" i="2"/>
  <c r="X77" i="2"/>
  <c r="X78" i="2"/>
  <c r="X79" i="2"/>
  <c r="X80" i="2"/>
  <c r="X81" i="2"/>
  <c r="X82" i="2"/>
  <c r="X83" i="2"/>
  <c r="X84" i="2"/>
  <c r="X85" i="2"/>
  <c r="X86" i="2"/>
  <c r="X87" i="2"/>
  <c r="X88" i="2"/>
  <c r="X89" i="2"/>
  <c r="X90" i="2"/>
  <c r="X91" i="2"/>
  <c r="X2" i="2"/>
  <c r="W3" i="2"/>
  <c r="W4" i="2"/>
  <c r="W5" i="2"/>
  <c r="W6" i="2"/>
  <c r="W7" i="2"/>
  <c r="W8" i="2"/>
  <c r="W9" i="2"/>
  <c r="W10" i="2"/>
  <c r="W11" i="2"/>
  <c r="W12" i="2"/>
  <c r="W13" i="2"/>
  <c r="W14" i="2"/>
  <c r="W15" i="2"/>
  <c r="W16" i="2"/>
  <c r="W17" i="2"/>
  <c r="W18" i="2"/>
  <c r="W19" i="2"/>
  <c r="W20" i="2"/>
  <c r="W21" i="2"/>
  <c r="W22" i="2"/>
  <c r="W23" i="2"/>
  <c r="W24" i="2"/>
  <c r="W25" i="2"/>
  <c r="W26" i="2"/>
  <c r="W27" i="2"/>
  <c r="W28" i="2"/>
  <c r="W29" i="2"/>
  <c r="W30" i="2"/>
  <c r="W31" i="2"/>
  <c r="W32" i="2"/>
  <c r="W33" i="2"/>
  <c r="W34" i="2"/>
  <c r="W35" i="2"/>
  <c r="W36" i="2"/>
  <c r="W37" i="2"/>
  <c r="W38" i="2"/>
  <c r="W39" i="2"/>
  <c r="W40" i="2"/>
  <c r="W41" i="2"/>
  <c r="W42" i="2"/>
  <c r="W43" i="2"/>
  <c r="W44" i="2"/>
  <c r="W45" i="2"/>
  <c r="W46" i="2"/>
  <c r="W47" i="2"/>
  <c r="W48" i="2"/>
  <c r="W49" i="2"/>
  <c r="W50" i="2"/>
  <c r="W51" i="2"/>
  <c r="W52" i="2"/>
  <c r="W53" i="2"/>
  <c r="W54" i="2"/>
  <c r="W55" i="2"/>
  <c r="W56" i="2"/>
  <c r="W57" i="2"/>
  <c r="W58" i="2"/>
  <c r="W59" i="2"/>
  <c r="W60" i="2"/>
  <c r="W61" i="2"/>
  <c r="W62" i="2"/>
  <c r="W63" i="2"/>
  <c r="W64" i="2"/>
  <c r="W65" i="2"/>
  <c r="W66" i="2"/>
  <c r="W67" i="2"/>
  <c r="W68" i="2"/>
  <c r="W69" i="2"/>
  <c r="W70" i="2"/>
  <c r="W71" i="2"/>
  <c r="W72" i="2"/>
  <c r="W73" i="2"/>
  <c r="W74" i="2"/>
  <c r="W75" i="2"/>
  <c r="W76" i="2"/>
  <c r="W77" i="2"/>
  <c r="W78" i="2"/>
  <c r="W79" i="2"/>
  <c r="W80" i="2"/>
  <c r="W81" i="2"/>
  <c r="W82" i="2"/>
  <c r="W83" i="2"/>
  <c r="W84" i="2"/>
  <c r="W85" i="2"/>
  <c r="W86" i="2"/>
  <c r="W87" i="2"/>
  <c r="W88" i="2"/>
  <c r="W89" i="2"/>
  <c r="W90" i="2"/>
  <c r="W91" i="2"/>
  <c r="W2" i="2"/>
  <c r="H91" i="2"/>
  <c r="J91" i="2"/>
  <c r="K91" i="2"/>
  <c r="L91" i="2"/>
  <c r="M91" i="2"/>
  <c r="N91" i="2"/>
  <c r="O91" i="2"/>
  <c r="P91" i="2"/>
  <c r="Q91" i="2"/>
  <c r="R91" i="2"/>
  <c r="S91" i="2"/>
  <c r="T91" i="2"/>
  <c r="U91" i="2"/>
  <c r="V91" i="2"/>
  <c r="H89" i="2"/>
  <c r="H90" i="2"/>
  <c r="J89" i="2"/>
  <c r="J90" i="2"/>
  <c r="K89" i="2"/>
  <c r="K90" i="2"/>
  <c r="L89" i="2"/>
  <c r="L90" i="2"/>
  <c r="M89" i="2"/>
  <c r="M90" i="2"/>
  <c r="N89" i="2"/>
  <c r="N90" i="2"/>
  <c r="O89" i="2"/>
  <c r="O90" i="2"/>
  <c r="P89" i="2"/>
  <c r="P90" i="2"/>
  <c r="Q89" i="2"/>
  <c r="Q90" i="2"/>
  <c r="R89" i="2"/>
  <c r="R90" i="2"/>
  <c r="S89" i="2"/>
  <c r="S90" i="2"/>
  <c r="T89" i="2"/>
  <c r="T90" i="2"/>
  <c r="U89" i="2"/>
  <c r="U90" i="2"/>
  <c r="V89" i="2"/>
  <c r="V90" i="2"/>
  <c r="A59" i="5"/>
  <c r="C59" i="5" s="1"/>
  <c r="A60" i="5"/>
  <c r="H60" i="5" s="1"/>
  <c r="O52" i="1"/>
  <c r="O74" i="1"/>
  <c r="H88" i="2"/>
  <c r="J88" i="2"/>
  <c r="K88" i="2"/>
  <c r="L88" i="2"/>
  <c r="M88" i="2"/>
  <c r="N88" i="2"/>
  <c r="O88" i="2"/>
  <c r="P88" i="2"/>
  <c r="Q88" i="2"/>
  <c r="R88" i="2"/>
  <c r="S88" i="2"/>
  <c r="T88" i="2"/>
  <c r="U88" i="2"/>
  <c r="V88" i="2"/>
  <c r="O67" i="1"/>
  <c r="O39" i="1"/>
  <c r="H87" i="2"/>
  <c r="J87" i="2"/>
  <c r="K87" i="2"/>
  <c r="L87" i="2"/>
  <c r="M87" i="2"/>
  <c r="N87" i="2"/>
  <c r="O87" i="2"/>
  <c r="P87" i="2"/>
  <c r="Q87" i="2"/>
  <c r="R87" i="2"/>
  <c r="S87" i="2"/>
  <c r="T87" i="2"/>
  <c r="U87" i="2"/>
  <c r="V87" i="2"/>
  <c r="H86" i="2"/>
  <c r="J86" i="2"/>
  <c r="K86" i="2"/>
  <c r="L86" i="2"/>
  <c r="M86" i="2"/>
  <c r="N86" i="2"/>
  <c r="O86" i="2"/>
  <c r="P86" i="2"/>
  <c r="Q86" i="2"/>
  <c r="R86" i="2"/>
  <c r="S86" i="2"/>
  <c r="T86" i="2"/>
  <c r="U86" i="2"/>
  <c r="V86" i="2"/>
  <c r="H85" i="2"/>
  <c r="J85" i="2"/>
  <c r="K85" i="2"/>
  <c r="L85" i="2"/>
  <c r="M85" i="2"/>
  <c r="N85" i="2"/>
  <c r="O85" i="2"/>
  <c r="P85" i="2"/>
  <c r="Q85" i="2"/>
  <c r="R85" i="2"/>
  <c r="S85" i="2"/>
  <c r="T85" i="2"/>
  <c r="U85" i="2"/>
  <c r="V85" i="2"/>
  <c r="O40" i="1"/>
  <c r="O13" i="1"/>
  <c r="A53" i="5"/>
  <c r="B53" i="5" s="1"/>
  <c r="A54" i="5"/>
  <c r="C54" i="5" s="1"/>
  <c r="A55" i="5"/>
  <c r="E55" i="5" s="1"/>
  <c r="A56" i="5"/>
  <c r="F56" i="5" s="1"/>
  <c r="A57" i="5"/>
  <c r="H57" i="5" s="1"/>
  <c r="A58" i="5"/>
  <c r="F58" i="5" s="1"/>
  <c r="H84" i="2"/>
  <c r="J84" i="2"/>
  <c r="K84" i="2"/>
  <c r="L84" i="2"/>
  <c r="M84" i="2"/>
  <c r="N84" i="2"/>
  <c r="O84" i="2"/>
  <c r="P84" i="2"/>
  <c r="Q84" i="2"/>
  <c r="R84" i="2"/>
  <c r="S84" i="2"/>
  <c r="T84" i="2"/>
  <c r="U84" i="2"/>
  <c r="V84" i="2"/>
  <c r="V2" i="2"/>
  <c r="V3" i="2"/>
  <c r="V4" i="2"/>
  <c r="V5" i="2"/>
  <c r="V6" i="2"/>
  <c r="V7" i="2"/>
  <c r="V8" i="2"/>
  <c r="V9" i="2"/>
  <c r="V10" i="2"/>
  <c r="V11" i="2"/>
  <c r="V12" i="2"/>
  <c r="V13" i="2"/>
  <c r="V14" i="2"/>
  <c r="V15" i="2"/>
  <c r="V16" i="2"/>
  <c r="V17" i="2"/>
  <c r="V18" i="2"/>
  <c r="V19" i="2"/>
  <c r="V20" i="2"/>
  <c r="V21" i="2"/>
  <c r="V22" i="2"/>
  <c r="V23" i="2"/>
  <c r="V24" i="2"/>
  <c r="V25" i="2"/>
  <c r="V26" i="2"/>
  <c r="V27" i="2"/>
  <c r="V28" i="2"/>
  <c r="V29" i="2"/>
  <c r="V30" i="2"/>
  <c r="V31" i="2"/>
  <c r="V32" i="2"/>
  <c r="V33" i="2"/>
  <c r="V34" i="2"/>
  <c r="V35" i="2"/>
  <c r="V36" i="2"/>
  <c r="V37" i="2"/>
  <c r="V38" i="2"/>
  <c r="V39" i="2"/>
  <c r="V40" i="2"/>
  <c r="V41" i="2"/>
  <c r="V42" i="2"/>
  <c r="V43" i="2"/>
  <c r="V44" i="2"/>
  <c r="V45" i="2"/>
  <c r="V46" i="2"/>
  <c r="V47" i="2"/>
  <c r="V48" i="2"/>
  <c r="V49" i="2"/>
  <c r="V50" i="2"/>
  <c r="V51" i="2"/>
  <c r="V52" i="2"/>
  <c r="V53" i="2"/>
  <c r="V54" i="2"/>
  <c r="V55" i="2"/>
  <c r="V56" i="2"/>
  <c r="V57" i="2"/>
  <c r="V58" i="2"/>
  <c r="V59" i="2"/>
  <c r="V60" i="2"/>
  <c r="V61" i="2"/>
  <c r="V62" i="2"/>
  <c r="V63" i="2"/>
  <c r="V64" i="2"/>
  <c r="V65" i="2"/>
  <c r="V66" i="2"/>
  <c r="V67" i="2"/>
  <c r="V68" i="2"/>
  <c r="V69" i="2"/>
  <c r="V70" i="2"/>
  <c r="V71" i="2"/>
  <c r="V72" i="2"/>
  <c r="V73" i="2"/>
  <c r="V74" i="2"/>
  <c r="V75" i="2"/>
  <c r="V76" i="2"/>
  <c r="V77" i="2"/>
  <c r="V78" i="2"/>
  <c r="V79" i="2"/>
  <c r="V80" i="2"/>
  <c r="V81" i="2"/>
  <c r="V82" i="2"/>
  <c r="V83" i="2"/>
  <c r="H83" i="2"/>
  <c r="J83" i="2"/>
  <c r="K83" i="2"/>
  <c r="L83" i="2"/>
  <c r="M83" i="2"/>
  <c r="N83" i="2"/>
  <c r="O83" i="2"/>
  <c r="P83" i="2"/>
  <c r="Q83" i="2"/>
  <c r="R83" i="2"/>
  <c r="S83" i="2"/>
  <c r="T83" i="2"/>
  <c r="U83" i="2"/>
  <c r="H82" i="2"/>
  <c r="J82" i="2"/>
  <c r="K82" i="2"/>
  <c r="L82" i="2"/>
  <c r="M82" i="2"/>
  <c r="N82" i="2"/>
  <c r="O82" i="2"/>
  <c r="P82" i="2"/>
  <c r="Q82" i="2"/>
  <c r="R82" i="2"/>
  <c r="S82" i="2"/>
  <c r="T82" i="2"/>
  <c r="U82" i="2"/>
  <c r="O53" i="1"/>
  <c r="O38" i="1"/>
  <c r="H81" i="2"/>
  <c r="J81" i="2"/>
  <c r="K81" i="2"/>
  <c r="L81" i="2"/>
  <c r="M81" i="2"/>
  <c r="N81" i="2"/>
  <c r="O81" i="2"/>
  <c r="P81" i="2"/>
  <c r="Q81" i="2"/>
  <c r="R81" i="2"/>
  <c r="S81" i="2"/>
  <c r="T81" i="2"/>
  <c r="U81" i="2"/>
  <c r="O32" i="1"/>
  <c r="H80" i="2"/>
  <c r="J80" i="2"/>
  <c r="K80" i="2"/>
  <c r="L80" i="2"/>
  <c r="M80" i="2"/>
  <c r="N80" i="2"/>
  <c r="O80" i="2"/>
  <c r="P80" i="2"/>
  <c r="Q80" i="2"/>
  <c r="R80" i="2"/>
  <c r="S80" i="2"/>
  <c r="T80" i="2"/>
  <c r="U80" i="2"/>
  <c r="O33" i="1"/>
  <c r="H79" i="2"/>
  <c r="J79" i="2"/>
  <c r="K79" i="2"/>
  <c r="L79" i="2"/>
  <c r="M79" i="2"/>
  <c r="N79" i="2"/>
  <c r="O79" i="2"/>
  <c r="P79" i="2"/>
  <c r="Q79" i="2"/>
  <c r="R79" i="2"/>
  <c r="S79" i="2"/>
  <c r="T79" i="2"/>
  <c r="U79" i="2"/>
  <c r="O43" i="1"/>
  <c r="H78" i="2"/>
  <c r="J78" i="2"/>
  <c r="K78" i="2"/>
  <c r="L78" i="2"/>
  <c r="M78" i="2"/>
  <c r="N78" i="2"/>
  <c r="O78" i="2"/>
  <c r="P78" i="2"/>
  <c r="Q78" i="2"/>
  <c r="R78" i="2"/>
  <c r="S78" i="2"/>
  <c r="T78" i="2"/>
  <c r="U78" i="2"/>
  <c r="A52" i="5"/>
  <c r="D52" i="5" s="1"/>
  <c r="A51" i="5"/>
  <c r="F51" i="5" s="1"/>
  <c r="O36" i="1"/>
  <c r="H77" i="2"/>
  <c r="J77" i="2"/>
  <c r="K77" i="2"/>
  <c r="L77" i="2"/>
  <c r="M77" i="2"/>
  <c r="N77" i="2"/>
  <c r="O77" i="2"/>
  <c r="P77" i="2"/>
  <c r="Q77" i="2"/>
  <c r="R77" i="2"/>
  <c r="S77" i="2"/>
  <c r="T77" i="2"/>
  <c r="U77" i="2"/>
  <c r="O59" i="1"/>
  <c r="H76" i="2"/>
  <c r="J76" i="2"/>
  <c r="K76" i="2"/>
  <c r="L76" i="2"/>
  <c r="M76" i="2"/>
  <c r="N76" i="2"/>
  <c r="O76" i="2"/>
  <c r="P76" i="2"/>
  <c r="Q76" i="2"/>
  <c r="R76" i="2"/>
  <c r="S76" i="2"/>
  <c r="T76" i="2"/>
  <c r="U76" i="2"/>
  <c r="O31" i="1"/>
  <c r="H75" i="2"/>
  <c r="J75" i="2"/>
  <c r="K75" i="2"/>
  <c r="L75" i="2"/>
  <c r="M75" i="2"/>
  <c r="N75" i="2"/>
  <c r="O75" i="2"/>
  <c r="P75" i="2"/>
  <c r="Q75" i="2"/>
  <c r="R75" i="2"/>
  <c r="S75" i="2"/>
  <c r="T75" i="2"/>
  <c r="U75" i="2"/>
  <c r="O14" i="1"/>
  <c r="H74" i="2"/>
  <c r="J74" i="2"/>
  <c r="K74" i="2"/>
  <c r="L74" i="2"/>
  <c r="M74" i="2"/>
  <c r="N74" i="2"/>
  <c r="O74" i="2"/>
  <c r="P74" i="2"/>
  <c r="Q74" i="2"/>
  <c r="R74" i="2"/>
  <c r="S74" i="2"/>
  <c r="T74" i="2"/>
  <c r="U74" i="2"/>
  <c r="A47" i="5"/>
  <c r="C47" i="5" s="1"/>
  <c r="A2" i="5"/>
  <c r="E2" i="5" s="1"/>
  <c r="A3" i="5"/>
  <c r="H3" i="5" s="1"/>
  <c r="A4" i="5"/>
  <c r="G4" i="5" s="1"/>
  <c r="A5" i="5"/>
  <c r="C5" i="5" s="1"/>
  <c r="A6" i="5"/>
  <c r="A7" i="5"/>
  <c r="C7" i="5" s="1"/>
  <c r="A8" i="5"/>
  <c r="H8" i="5" s="1"/>
  <c r="A9" i="5"/>
  <c r="D9" i="5" s="1"/>
  <c r="A10" i="5"/>
  <c r="G10" i="5" s="1"/>
  <c r="A11" i="5"/>
  <c r="B11" i="5" s="1"/>
  <c r="A12" i="5"/>
  <c r="F12" i="5" s="1"/>
  <c r="A13" i="5"/>
  <c r="B13" i="5" s="1"/>
  <c r="A14" i="5"/>
  <c r="E14" i="5" s="1"/>
  <c r="A15" i="5"/>
  <c r="H15" i="5" s="1"/>
  <c r="A16" i="5"/>
  <c r="F16" i="5" s="1"/>
  <c r="A17" i="5"/>
  <c r="H17" i="5" s="1"/>
  <c r="A18" i="5"/>
  <c r="H18" i="5" s="1"/>
  <c r="A19" i="5"/>
  <c r="B19" i="5" s="1"/>
  <c r="A20" i="5"/>
  <c r="H20" i="5" s="1"/>
  <c r="A21" i="5"/>
  <c r="F21" i="5" s="1"/>
  <c r="A22" i="5"/>
  <c r="F22" i="5" s="1"/>
  <c r="A23" i="5"/>
  <c r="D23" i="5" s="1"/>
  <c r="A24" i="5"/>
  <c r="C24" i="5" s="1"/>
  <c r="A25" i="5"/>
  <c r="E25" i="5" s="1"/>
  <c r="A26" i="5"/>
  <c r="G26" i="5" s="1"/>
  <c r="A27" i="5"/>
  <c r="H27" i="5" s="1"/>
  <c r="A28" i="5"/>
  <c r="H28" i="5" s="1"/>
  <c r="A29" i="5"/>
  <c r="D29" i="5" s="1"/>
  <c r="A30" i="5"/>
  <c r="E30" i="5" s="1"/>
  <c r="A31" i="5"/>
  <c r="H31" i="5" s="1"/>
  <c r="A32" i="5"/>
  <c r="C32" i="5" s="1"/>
  <c r="A33" i="5"/>
  <c r="D33" i="5" s="1"/>
  <c r="A34" i="5"/>
  <c r="F34" i="5" s="1"/>
  <c r="A35" i="5"/>
  <c r="G35" i="5" s="1"/>
  <c r="A36" i="5"/>
  <c r="D36" i="5" s="1"/>
  <c r="A37" i="5"/>
  <c r="E37" i="5" s="1"/>
  <c r="A38" i="5"/>
  <c r="E38" i="5" s="1"/>
  <c r="A39" i="5"/>
  <c r="E39" i="5" s="1"/>
  <c r="A40" i="5"/>
  <c r="D40" i="5" s="1"/>
  <c r="A41" i="5"/>
  <c r="C41" i="5" s="1"/>
  <c r="A42" i="5"/>
  <c r="F42" i="5" s="1"/>
  <c r="A43" i="5"/>
  <c r="C43" i="5" s="1"/>
  <c r="A44" i="5"/>
  <c r="H44" i="5" s="1"/>
  <c r="A45" i="5"/>
  <c r="C45" i="5" s="1"/>
  <c r="A46" i="5"/>
  <c r="D46" i="5" s="1"/>
  <c r="O11" i="1"/>
  <c r="H73" i="2"/>
  <c r="J73" i="2"/>
  <c r="K73" i="2"/>
  <c r="L73" i="2"/>
  <c r="M73" i="2"/>
  <c r="N73" i="2"/>
  <c r="O73" i="2"/>
  <c r="P73" i="2"/>
  <c r="Q73" i="2"/>
  <c r="R73" i="2"/>
  <c r="S73" i="2"/>
  <c r="T73" i="2"/>
  <c r="U73" i="2"/>
  <c r="A48" i="5"/>
  <c r="G48" i="5" s="1"/>
  <c r="A49" i="5"/>
  <c r="D49" i="5" s="1"/>
  <c r="A50" i="5"/>
  <c r="H50" i="5" s="1"/>
  <c r="O42" i="1"/>
  <c r="U2" i="2"/>
  <c r="U3" i="2"/>
  <c r="U4" i="2"/>
  <c r="U5" i="2"/>
  <c r="U6" i="2"/>
  <c r="U7" i="2"/>
  <c r="U8" i="2"/>
  <c r="U9" i="2"/>
  <c r="U10" i="2"/>
  <c r="U11" i="2"/>
  <c r="U12" i="2"/>
  <c r="U13" i="2"/>
  <c r="U14" i="2"/>
  <c r="U15" i="2"/>
  <c r="U16" i="2"/>
  <c r="U17" i="2"/>
  <c r="U18" i="2"/>
  <c r="U19" i="2"/>
  <c r="U20" i="2"/>
  <c r="U21" i="2"/>
  <c r="U22" i="2"/>
  <c r="U23" i="2"/>
  <c r="U24" i="2"/>
  <c r="U25" i="2"/>
  <c r="U26" i="2"/>
  <c r="U27" i="2"/>
  <c r="U28" i="2"/>
  <c r="U29" i="2"/>
  <c r="U30" i="2"/>
  <c r="U31" i="2"/>
  <c r="U32" i="2"/>
  <c r="U33" i="2"/>
  <c r="U34" i="2"/>
  <c r="U35" i="2"/>
  <c r="U36" i="2"/>
  <c r="U37" i="2"/>
  <c r="U38" i="2"/>
  <c r="U39" i="2"/>
  <c r="U40" i="2"/>
  <c r="U41" i="2"/>
  <c r="U42" i="2"/>
  <c r="U43" i="2"/>
  <c r="U44" i="2"/>
  <c r="U45" i="2"/>
  <c r="U46" i="2"/>
  <c r="U47" i="2"/>
  <c r="U48" i="2"/>
  <c r="U49" i="2"/>
  <c r="U50" i="2"/>
  <c r="U51" i="2"/>
  <c r="U52" i="2"/>
  <c r="U53" i="2"/>
  <c r="U54" i="2"/>
  <c r="U55" i="2"/>
  <c r="U56" i="2"/>
  <c r="U57" i="2"/>
  <c r="U58" i="2"/>
  <c r="U59" i="2"/>
  <c r="U60" i="2"/>
  <c r="U61" i="2"/>
  <c r="U62" i="2"/>
  <c r="U63" i="2"/>
  <c r="U64" i="2"/>
  <c r="U65" i="2"/>
  <c r="U66" i="2"/>
  <c r="U67" i="2"/>
  <c r="U68" i="2"/>
  <c r="U69" i="2"/>
  <c r="U70" i="2"/>
  <c r="U71" i="2"/>
  <c r="U72" i="2"/>
  <c r="H72" i="2"/>
  <c r="J72" i="2"/>
  <c r="K72" i="2"/>
  <c r="L72" i="2"/>
  <c r="M72" i="2"/>
  <c r="N72" i="2"/>
  <c r="O72" i="2"/>
  <c r="P72" i="2"/>
  <c r="Q72" i="2"/>
  <c r="R72" i="2"/>
  <c r="S72" i="2"/>
  <c r="T72" i="2"/>
  <c r="O66" i="1"/>
  <c r="H71" i="2"/>
  <c r="J71" i="2"/>
  <c r="K71" i="2"/>
  <c r="L71" i="2"/>
  <c r="M71" i="2"/>
  <c r="N71" i="2"/>
  <c r="O71" i="2"/>
  <c r="P71" i="2"/>
  <c r="Q71" i="2"/>
  <c r="R71" i="2"/>
  <c r="S71" i="2"/>
  <c r="T71" i="2"/>
  <c r="H70" i="2"/>
  <c r="J70" i="2"/>
  <c r="K70" i="2"/>
  <c r="L70" i="2"/>
  <c r="M70" i="2"/>
  <c r="N70" i="2"/>
  <c r="O70" i="2"/>
  <c r="P70" i="2"/>
  <c r="Q70" i="2"/>
  <c r="R70" i="2"/>
  <c r="S70" i="2"/>
  <c r="T70" i="2"/>
  <c r="O28" i="1"/>
  <c r="H69" i="2"/>
  <c r="J69" i="2"/>
  <c r="K69" i="2"/>
  <c r="L69" i="2"/>
  <c r="M69" i="2"/>
  <c r="N69" i="2"/>
  <c r="O69" i="2"/>
  <c r="P69" i="2"/>
  <c r="Q69" i="2"/>
  <c r="R69" i="2"/>
  <c r="S69" i="2"/>
  <c r="T69" i="2"/>
  <c r="O34" i="1"/>
  <c r="H68" i="2"/>
  <c r="J68" i="2"/>
  <c r="K68" i="2"/>
  <c r="L68" i="2"/>
  <c r="M68" i="2"/>
  <c r="N68" i="2"/>
  <c r="O68" i="2"/>
  <c r="P68" i="2"/>
  <c r="Q68" i="2"/>
  <c r="R68" i="2"/>
  <c r="S68" i="2"/>
  <c r="T68" i="2"/>
  <c r="O21" i="1"/>
  <c r="L6" i="2"/>
  <c r="L8" i="2"/>
  <c r="L10" i="2"/>
  <c r="L28" i="2"/>
  <c r="L20" i="2"/>
  <c r="M6" i="2"/>
  <c r="M8" i="2"/>
  <c r="M10" i="2"/>
  <c r="M28" i="2"/>
  <c r="M20" i="2"/>
  <c r="N6" i="2"/>
  <c r="N8" i="2"/>
  <c r="N10" i="2"/>
  <c r="N28" i="2"/>
  <c r="N20" i="2"/>
  <c r="O6" i="2"/>
  <c r="O8" i="2"/>
  <c r="O10" i="2"/>
  <c r="O28" i="2"/>
  <c r="O20" i="2"/>
  <c r="P6" i="2"/>
  <c r="P8" i="2"/>
  <c r="P10" i="2"/>
  <c r="P28" i="2"/>
  <c r="P20" i="2"/>
  <c r="Q6" i="2"/>
  <c r="Q8" i="2"/>
  <c r="Q10" i="2"/>
  <c r="Q28" i="2"/>
  <c r="Q20" i="2"/>
  <c r="R6" i="2"/>
  <c r="R8" i="2"/>
  <c r="R10" i="2"/>
  <c r="R28" i="2"/>
  <c r="R20" i="2"/>
  <c r="S6" i="2"/>
  <c r="S8" i="2"/>
  <c r="S10" i="2"/>
  <c r="S28" i="2"/>
  <c r="S20" i="2"/>
  <c r="T6" i="2"/>
  <c r="T8" i="2"/>
  <c r="T10" i="2"/>
  <c r="T28" i="2"/>
  <c r="T20" i="2"/>
  <c r="K6" i="2"/>
  <c r="K8" i="2"/>
  <c r="K10" i="2"/>
  <c r="K28" i="2"/>
  <c r="K20" i="2"/>
  <c r="J2" i="2"/>
  <c r="J3" i="2"/>
  <c r="J4" i="2"/>
  <c r="J5" i="2"/>
  <c r="J6" i="2"/>
  <c r="J7" i="2"/>
  <c r="J8" i="2"/>
  <c r="J9" i="2"/>
  <c r="J10" i="2"/>
  <c r="J11" i="2"/>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5" i="2"/>
  <c r="J66" i="2"/>
  <c r="J67" i="2"/>
  <c r="K2" i="2"/>
  <c r="K3" i="2"/>
  <c r="K4" i="2"/>
  <c r="K5" i="2"/>
  <c r="K7" i="2"/>
  <c r="K9" i="2"/>
  <c r="K11" i="2"/>
  <c r="K12" i="2"/>
  <c r="K13" i="2"/>
  <c r="K14" i="2"/>
  <c r="K15" i="2"/>
  <c r="K16" i="2"/>
  <c r="K17" i="2"/>
  <c r="K18" i="2"/>
  <c r="K19" i="2"/>
  <c r="K21" i="2"/>
  <c r="K22" i="2"/>
  <c r="K23" i="2"/>
  <c r="K24" i="2"/>
  <c r="K25" i="2"/>
  <c r="K26" i="2"/>
  <c r="K27" i="2"/>
  <c r="K29" i="2"/>
  <c r="K30" i="2"/>
  <c r="K31" i="2"/>
  <c r="K32" i="2"/>
  <c r="K33" i="2"/>
  <c r="K34" i="2"/>
  <c r="K35" i="2"/>
  <c r="K36" i="2"/>
  <c r="K37" i="2"/>
  <c r="K38" i="2"/>
  <c r="K39" i="2"/>
  <c r="K40" i="2"/>
  <c r="K41" i="2"/>
  <c r="K42" i="2"/>
  <c r="K43" i="2"/>
  <c r="K44" i="2"/>
  <c r="K45" i="2"/>
  <c r="K46" i="2"/>
  <c r="K47" i="2"/>
  <c r="K48" i="2"/>
  <c r="K49" i="2"/>
  <c r="K50" i="2"/>
  <c r="K51" i="2"/>
  <c r="K52" i="2"/>
  <c r="K53" i="2"/>
  <c r="K54" i="2"/>
  <c r="K55" i="2"/>
  <c r="K56" i="2"/>
  <c r="K57" i="2"/>
  <c r="K58" i="2"/>
  <c r="K59" i="2"/>
  <c r="K60" i="2"/>
  <c r="K61" i="2"/>
  <c r="K62" i="2"/>
  <c r="K65" i="2"/>
  <c r="K66" i="2"/>
  <c r="K67" i="2"/>
  <c r="L2" i="2"/>
  <c r="L3" i="2"/>
  <c r="L4" i="2"/>
  <c r="L5" i="2"/>
  <c r="L7" i="2"/>
  <c r="L9" i="2"/>
  <c r="L11" i="2"/>
  <c r="L12" i="2"/>
  <c r="L13" i="2"/>
  <c r="L14" i="2"/>
  <c r="L15" i="2"/>
  <c r="L16" i="2"/>
  <c r="L17" i="2"/>
  <c r="L18" i="2"/>
  <c r="L19" i="2"/>
  <c r="L21" i="2"/>
  <c r="L22" i="2"/>
  <c r="L23" i="2"/>
  <c r="L24" i="2"/>
  <c r="L25" i="2"/>
  <c r="L26" i="2"/>
  <c r="L27" i="2"/>
  <c r="L29" i="2"/>
  <c r="L30" i="2"/>
  <c r="L31" i="2"/>
  <c r="L32" i="2"/>
  <c r="L33" i="2"/>
  <c r="L34" i="2"/>
  <c r="L35" i="2"/>
  <c r="L36" i="2"/>
  <c r="L37" i="2"/>
  <c r="L38" i="2"/>
  <c r="L39" i="2"/>
  <c r="L40" i="2"/>
  <c r="L41" i="2"/>
  <c r="L42" i="2"/>
  <c r="L43" i="2"/>
  <c r="L44" i="2"/>
  <c r="L45" i="2"/>
  <c r="L46" i="2"/>
  <c r="L47" i="2"/>
  <c r="L48" i="2"/>
  <c r="L49" i="2"/>
  <c r="L50" i="2"/>
  <c r="L51" i="2"/>
  <c r="L52" i="2"/>
  <c r="L53" i="2"/>
  <c r="L54" i="2"/>
  <c r="L55" i="2"/>
  <c r="L56" i="2"/>
  <c r="L57" i="2"/>
  <c r="L58" i="2"/>
  <c r="L59" i="2"/>
  <c r="L60" i="2"/>
  <c r="L61" i="2"/>
  <c r="L62" i="2"/>
  <c r="L65" i="2"/>
  <c r="L66" i="2"/>
  <c r="L67" i="2"/>
  <c r="M2" i="2"/>
  <c r="M3" i="2"/>
  <c r="M4" i="2"/>
  <c r="M5" i="2"/>
  <c r="M7" i="2"/>
  <c r="M9" i="2"/>
  <c r="M11" i="2"/>
  <c r="M12" i="2"/>
  <c r="M13" i="2"/>
  <c r="M14" i="2"/>
  <c r="M15" i="2"/>
  <c r="M16" i="2"/>
  <c r="M17" i="2"/>
  <c r="M18" i="2"/>
  <c r="M19" i="2"/>
  <c r="M21" i="2"/>
  <c r="M22" i="2"/>
  <c r="M23" i="2"/>
  <c r="M24" i="2"/>
  <c r="M25" i="2"/>
  <c r="M26" i="2"/>
  <c r="M27" i="2"/>
  <c r="M29" i="2"/>
  <c r="M30" i="2"/>
  <c r="M31" i="2"/>
  <c r="M32" i="2"/>
  <c r="M33" i="2"/>
  <c r="M34" i="2"/>
  <c r="M35" i="2"/>
  <c r="M36" i="2"/>
  <c r="M37" i="2"/>
  <c r="M38" i="2"/>
  <c r="M39" i="2"/>
  <c r="M40" i="2"/>
  <c r="M41" i="2"/>
  <c r="M42" i="2"/>
  <c r="M43" i="2"/>
  <c r="M44" i="2"/>
  <c r="M45" i="2"/>
  <c r="M46" i="2"/>
  <c r="M47" i="2"/>
  <c r="M48" i="2"/>
  <c r="M49" i="2"/>
  <c r="M50" i="2"/>
  <c r="M51" i="2"/>
  <c r="M52" i="2"/>
  <c r="M53" i="2"/>
  <c r="M54" i="2"/>
  <c r="M55" i="2"/>
  <c r="M56" i="2"/>
  <c r="M57" i="2"/>
  <c r="M58" i="2"/>
  <c r="M59" i="2"/>
  <c r="M60" i="2"/>
  <c r="M61" i="2"/>
  <c r="M62" i="2"/>
  <c r="M65" i="2"/>
  <c r="M66" i="2"/>
  <c r="M67" i="2"/>
  <c r="N2" i="2"/>
  <c r="N3" i="2"/>
  <c r="N4" i="2"/>
  <c r="N5" i="2"/>
  <c r="N7" i="2"/>
  <c r="N9" i="2"/>
  <c r="N11" i="2"/>
  <c r="N12" i="2"/>
  <c r="N13" i="2"/>
  <c r="N14" i="2"/>
  <c r="N15" i="2"/>
  <c r="N16" i="2"/>
  <c r="N17" i="2"/>
  <c r="N18" i="2"/>
  <c r="N19" i="2"/>
  <c r="N21" i="2"/>
  <c r="N22" i="2"/>
  <c r="N23" i="2"/>
  <c r="N24" i="2"/>
  <c r="N25" i="2"/>
  <c r="N26" i="2"/>
  <c r="N27" i="2"/>
  <c r="N29" i="2"/>
  <c r="N30" i="2"/>
  <c r="N31" i="2"/>
  <c r="N32" i="2"/>
  <c r="N33" i="2"/>
  <c r="N34" i="2"/>
  <c r="N35" i="2"/>
  <c r="N36" i="2"/>
  <c r="N37" i="2"/>
  <c r="N38" i="2"/>
  <c r="N39" i="2"/>
  <c r="N40" i="2"/>
  <c r="N41" i="2"/>
  <c r="N42" i="2"/>
  <c r="N43" i="2"/>
  <c r="N44" i="2"/>
  <c r="N45" i="2"/>
  <c r="N46" i="2"/>
  <c r="N47" i="2"/>
  <c r="N48" i="2"/>
  <c r="N49" i="2"/>
  <c r="N50" i="2"/>
  <c r="N51" i="2"/>
  <c r="N52" i="2"/>
  <c r="N53" i="2"/>
  <c r="N54" i="2"/>
  <c r="N55" i="2"/>
  <c r="N56" i="2"/>
  <c r="N57" i="2"/>
  <c r="N58" i="2"/>
  <c r="N59" i="2"/>
  <c r="N60" i="2"/>
  <c r="N61" i="2"/>
  <c r="N62" i="2"/>
  <c r="N65" i="2"/>
  <c r="N66" i="2"/>
  <c r="N67" i="2"/>
  <c r="O2" i="2"/>
  <c r="O3" i="2"/>
  <c r="O4" i="2"/>
  <c r="O5" i="2"/>
  <c r="O7" i="2"/>
  <c r="O9" i="2"/>
  <c r="O11" i="2"/>
  <c r="O12" i="2"/>
  <c r="O13" i="2"/>
  <c r="O14" i="2"/>
  <c r="O15" i="2"/>
  <c r="O16" i="2"/>
  <c r="O17" i="2"/>
  <c r="O18" i="2"/>
  <c r="O19" i="2"/>
  <c r="O21" i="2"/>
  <c r="O22" i="2"/>
  <c r="O23" i="2"/>
  <c r="O24" i="2"/>
  <c r="O25" i="2"/>
  <c r="O26" i="2"/>
  <c r="O27" i="2"/>
  <c r="O29" i="2"/>
  <c r="O30" i="2"/>
  <c r="O31" i="2"/>
  <c r="O32" i="2"/>
  <c r="O33" i="2"/>
  <c r="O34" i="2"/>
  <c r="O35" i="2"/>
  <c r="O36" i="2"/>
  <c r="O37" i="2"/>
  <c r="O38" i="2"/>
  <c r="O39" i="2"/>
  <c r="O40" i="2"/>
  <c r="O41" i="2"/>
  <c r="O42" i="2"/>
  <c r="O43" i="2"/>
  <c r="O44" i="2"/>
  <c r="O45" i="2"/>
  <c r="O46" i="2"/>
  <c r="O47" i="2"/>
  <c r="O48" i="2"/>
  <c r="O49" i="2"/>
  <c r="O50" i="2"/>
  <c r="O51" i="2"/>
  <c r="O52" i="2"/>
  <c r="O53" i="2"/>
  <c r="O54" i="2"/>
  <c r="O55" i="2"/>
  <c r="O56" i="2"/>
  <c r="O57" i="2"/>
  <c r="O58" i="2"/>
  <c r="O59" i="2"/>
  <c r="O60" i="2"/>
  <c r="O61" i="2"/>
  <c r="O62" i="2"/>
  <c r="O65" i="2"/>
  <c r="O66" i="2"/>
  <c r="O67" i="2"/>
  <c r="P2" i="2"/>
  <c r="P3" i="2"/>
  <c r="P4" i="2"/>
  <c r="P5" i="2"/>
  <c r="P7" i="2"/>
  <c r="P9" i="2"/>
  <c r="P11" i="2"/>
  <c r="P12" i="2"/>
  <c r="P13" i="2"/>
  <c r="P14" i="2"/>
  <c r="P15" i="2"/>
  <c r="P16" i="2"/>
  <c r="P17" i="2"/>
  <c r="P18" i="2"/>
  <c r="P19" i="2"/>
  <c r="P21" i="2"/>
  <c r="P22" i="2"/>
  <c r="P23" i="2"/>
  <c r="P24" i="2"/>
  <c r="P25" i="2"/>
  <c r="P26" i="2"/>
  <c r="P27" i="2"/>
  <c r="P29" i="2"/>
  <c r="P30" i="2"/>
  <c r="P31" i="2"/>
  <c r="P32" i="2"/>
  <c r="P33" i="2"/>
  <c r="P34" i="2"/>
  <c r="P35" i="2"/>
  <c r="P36" i="2"/>
  <c r="P37" i="2"/>
  <c r="P38" i="2"/>
  <c r="P39" i="2"/>
  <c r="P40" i="2"/>
  <c r="P41" i="2"/>
  <c r="P42" i="2"/>
  <c r="P43" i="2"/>
  <c r="P44" i="2"/>
  <c r="P45" i="2"/>
  <c r="P46" i="2"/>
  <c r="P47" i="2"/>
  <c r="P48" i="2"/>
  <c r="P49" i="2"/>
  <c r="P50" i="2"/>
  <c r="P51" i="2"/>
  <c r="P52" i="2"/>
  <c r="P53" i="2"/>
  <c r="P54" i="2"/>
  <c r="P55" i="2"/>
  <c r="P56" i="2"/>
  <c r="P57" i="2"/>
  <c r="P58" i="2"/>
  <c r="P59" i="2"/>
  <c r="P60" i="2"/>
  <c r="P61" i="2"/>
  <c r="P62" i="2"/>
  <c r="P65" i="2"/>
  <c r="P66" i="2"/>
  <c r="P67" i="2"/>
  <c r="Q2" i="2"/>
  <c r="Q3" i="2"/>
  <c r="Q4" i="2"/>
  <c r="Q5" i="2"/>
  <c r="Q7" i="2"/>
  <c r="Q9" i="2"/>
  <c r="Q11" i="2"/>
  <c r="Q12" i="2"/>
  <c r="Q13" i="2"/>
  <c r="Q14" i="2"/>
  <c r="Q15" i="2"/>
  <c r="Q16" i="2"/>
  <c r="Q17" i="2"/>
  <c r="Q18" i="2"/>
  <c r="Q19" i="2"/>
  <c r="Q21" i="2"/>
  <c r="Q22" i="2"/>
  <c r="Q23" i="2"/>
  <c r="Q24" i="2"/>
  <c r="Q25" i="2"/>
  <c r="Q26" i="2"/>
  <c r="Q27" i="2"/>
  <c r="Q29" i="2"/>
  <c r="Q30" i="2"/>
  <c r="Q31" i="2"/>
  <c r="Q32" i="2"/>
  <c r="Q33" i="2"/>
  <c r="Q34" i="2"/>
  <c r="Q35" i="2"/>
  <c r="Q36" i="2"/>
  <c r="Q37" i="2"/>
  <c r="Q38" i="2"/>
  <c r="Q39" i="2"/>
  <c r="Q40" i="2"/>
  <c r="Q41" i="2"/>
  <c r="Q42" i="2"/>
  <c r="Q43" i="2"/>
  <c r="Q44" i="2"/>
  <c r="Q45" i="2"/>
  <c r="Q46" i="2"/>
  <c r="Q47" i="2"/>
  <c r="Q48" i="2"/>
  <c r="Q49" i="2"/>
  <c r="Q50" i="2"/>
  <c r="Q51" i="2"/>
  <c r="Q52" i="2"/>
  <c r="Q53" i="2"/>
  <c r="Q54" i="2"/>
  <c r="Q55" i="2"/>
  <c r="Q56" i="2"/>
  <c r="Q57" i="2"/>
  <c r="Q58" i="2"/>
  <c r="Q59" i="2"/>
  <c r="Q60" i="2"/>
  <c r="Q61" i="2"/>
  <c r="Q62" i="2"/>
  <c r="Q65" i="2"/>
  <c r="Q66" i="2"/>
  <c r="Q67" i="2"/>
  <c r="R2" i="2"/>
  <c r="R3" i="2"/>
  <c r="R4" i="2"/>
  <c r="R5" i="2"/>
  <c r="R7" i="2"/>
  <c r="R9" i="2"/>
  <c r="R11" i="2"/>
  <c r="R12" i="2"/>
  <c r="R13" i="2"/>
  <c r="R14" i="2"/>
  <c r="R15" i="2"/>
  <c r="R16" i="2"/>
  <c r="R17" i="2"/>
  <c r="R18" i="2"/>
  <c r="R19" i="2"/>
  <c r="R21" i="2"/>
  <c r="R22" i="2"/>
  <c r="R23" i="2"/>
  <c r="R24" i="2"/>
  <c r="R25" i="2"/>
  <c r="R26" i="2"/>
  <c r="R27" i="2"/>
  <c r="R29" i="2"/>
  <c r="R30" i="2"/>
  <c r="R31" i="2"/>
  <c r="R32" i="2"/>
  <c r="R33" i="2"/>
  <c r="R34" i="2"/>
  <c r="R35" i="2"/>
  <c r="R36" i="2"/>
  <c r="R37" i="2"/>
  <c r="R38" i="2"/>
  <c r="R39" i="2"/>
  <c r="R40" i="2"/>
  <c r="R41" i="2"/>
  <c r="R42" i="2"/>
  <c r="R43" i="2"/>
  <c r="R44" i="2"/>
  <c r="R45" i="2"/>
  <c r="R46" i="2"/>
  <c r="R47" i="2"/>
  <c r="R48" i="2"/>
  <c r="R49" i="2"/>
  <c r="R50" i="2"/>
  <c r="R51" i="2"/>
  <c r="R52" i="2"/>
  <c r="R53" i="2"/>
  <c r="R54" i="2"/>
  <c r="R55" i="2"/>
  <c r="R56" i="2"/>
  <c r="R57" i="2"/>
  <c r="R58" i="2"/>
  <c r="R59" i="2"/>
  <c r="R60" i="2"/>
  <c r="R61" i="2"/>
  <c r="R62" i="2"/>
  <c r="R65" i="2"/>
  <c r="R66" i="2"/>
  <c r="R67" i="2"/>
  <c r="S2" i="2"/>
  <c r="S3" i="2"/>
  <c r="S4" i="2"/>
  <c r="S5" i="2"/>
  <c r="S7" i="2"/>
  <c r="S9" i="2"/>
  <c r="S11" i="2"/>
  <c r="S12" i="2"/>
  <c r="S13" i="2"/>
  <c r="S14" i="2"/>
  <c r="S15" i="2"/>
  <c r="S16" i="2"/>
  <c r="S17" i="2"/>
  <c r="S18" i="2"/>
  <c r="S19" i="2"/>
  <c r="S21" i="2"/>
  <c r="S22" i="2"/>
  <c r="S23" i="2"/>
  <c r="S24" i="2"/>
  <c r="S25" i="2"/>
  <c r="S26" i="2"/>
  <c r="S27" i="2"/>
  <c r="S29" i="2"/>
  <c r="S30" i="2"/>
  <c r="S31" i="2"/>
  <c r="S32" i="2"/>
  <c r="S33" i="2"/>
  <c r="S34" i="2"/>
  <c r="S35" i="2"/>
  <c r="S36" i="2"/>
  <c r="S37" i="2"/>
  <c r="S38" i="2"/>
  <c r="S39" i="2"/>
  <c r="S40" i="2"/>
  <c r="S41" i="2"/>
  <c r="S42" i="2"/>
  <c r="S43" i="2"/>
  <c r="S44" i="2"/>
  <c r="S45" i="2"/>
  <c r="S46" i="2"/>
  <c r="S47" i="2"/>
  <c r="S48" i="2"/>
  <c r="S49" i="2"/>
  <c r="S50" i="2"/>
  <c r="S51" i="2"/>
  <c r="S52" i="2"/>
  <c r="S53" i="2"/>
  <c r="S54" i="2"/>
  <c r="S55" i="2"/>
  <c r="S56" i="2"/>
  <c r="S57" i="2"/>
  <c r="S58" i="2"/>
  <c r="S59" i="2"/>
  <c r="S60" i="2"/>
  <c r="S61" i="2"/>
  <c r="S62" i="2"/>
  <c r="S65" i="2"/>
  <c r="S66" i="2"/>
  <c r="S67" i="2"/>
  <c r="T2" i="2"/>
  <c r="T3" i="2"/>
  <c r="T4" i="2"/>
  <c r="T5" i="2"/>
  <c r="T7" i="2"/>
  <c r="T9" i="2"/>
  <c r="T11" i="2"/>
  <c r="T12" i="2"/>
  <c r="T13" i="2"/>
  <c r="T14" i="2"/>
  <c r="T15" i="2"/>
  <c r="T16" i="2"/>
  <c r="T17" i="2"/>
  <c r="T18" i="2"/>
  <c r="T19" i="2"/>
  <c r="T21" i="2"/>
  <c r="T22" i="2"/>
  <c r="T23" i="2"/>
  <c r="T24" i="2"/>
  <c r="T25" i="2"/>
  <c r="T26" i="2"/>
  <c r="T27" i="2"/>
  <c r="T29" i="2"/>
  <c r="T30" i="2"/>
  <c r="T31" i="2"/>
  <c r="T32" i="2"/>
  <c r="T33" i="2"/>
  <c r="T34" i="2"/>
  <c r="T35" i="2"/>
  <c r="T36" i="2"/>
  <c r="T37" i="2"/>
  <c r="T38" i="2"/>
  <c r="T39" i="2"/>
  <c r="T40" i="2"/>
  <c r="T41" i="2"/>
  <c r="T42" i="2"/>
  <c r="T43" i="2"/>
  <c r="T44" i="2"/>
  <c r="T45" i="2"/>
  <c r="T46" i="2"/>
  <c r="T47" i="2"/>
  <c r="T48" i="2"/>
  <c r="T49" i="2"/>
  <c r="T50" i="2"/>
  <c r="T51" i="2"/>
  <c r="T52" i="2"/>
  <c r="T53" i="2"/>
  <c r="T54" i="2"/>
  <c r="T55" i="2"/>
  <c r="T56" i="2"/>
  <c r="T57" i="2"/>
  <c r="T58" i="2"/>
  <c r="T59" i="2"/>
  <c r="T60" i="2"/>
  <c r="T61" i="2"/>
  <c r="T62" i="2"/>
  <c r="T65" i="2"/>
  <c r="T66" i="2"/>
  <c r="T67" i="2"/>
  <c r="B4" i="9"/>
  <c r="B5" i="9" s="1"/>
  <c r="C4" i="9"/>
  <c r="D4" i="9"/>
  <c r="E4" i="9"/>
  <c r="F4" i="9"/>
  <c r="G4" i="9"/>
  <c r="H4" i="9"/>
  <c r="I4" i="9"/>
  <c r="J4" i="9"/>
  <c r="K4" i="9"/>
  <c r="L4" i="9"/>
  <c r="O7" i="1"/>
  <c r="O15" i="1"/>
  <c r="O16" i="1"/>
  <c r="O17" i="1"/>
  <c r="O65" i="1"/>
  <c r="O18" i="1"/>
  <c r="O60" i="1"/>
  <c r="O10" i="1"/>
  <c r="O8" i="1"/>
  <c r="O9" i="1"/>
  <c r="O19" i="1"/>
  <c r="O56" i="1"/>
  <c r="O20" i="1"/>
  <c r="O12" i="1"/>
  <c r="O30" i="1"/>
  <c r="O37" i="1"/>
  <c r="O58" i="1"/>
  <c r="O25" i="1"/>
  <c r="O61" i="1"/>
  <c r="O24" i="1"/>
  <c r="O22" i="1"/>
  <c r="O57" i="1"/>
  <c r="O63" i="1"/>
  <c r="O46" i="1"/>
  <c r="O51" i="1"/>
  <c r="O26" i="1"/>
  <c r="O47" i="1"/>
  <c r="O48" i="1"/>
  <c r="O27" i="1"/>
  <c r="O35" i="1"/>
  <c r="O23" i="1"/>
  <c r="O64" i="1"/>
  <c r="O45" i="1"/>
  <c r="O54" i="1"/>
  <c r="O55" i="1"/>
  <c r="O62" i="1"/>
  <c r="O29" i="1"/>
  <c r="O41" i="1"/>
  <c r="H4" i="2"/>
  <c r="H5" i="2"/>
  <c r="H19" i="2"/>
  <c r="H21" i="2"/>
  <c r="H2" i="2"/>
  <c r="H3" i="2"/>
  <c r="H6" i="2"/>
  <c r="H7" i="2"/>
  <c r="H8" i="2"/>
  <c r="H9" i="2"/>
  <c r="H10" i="2"/>
  <c r="H11" i="2"/>
  <c r="H12" i="2"/>
  <c r="H13" i="2"/>
  <c r="H14" i="2"/>
  <c r="H15" i="2"/>
  <c r="H16" i="2"/>
  <c r="H17" i="2"/>
  <c r="H18" i="2"/>
  <c r="H20"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5" i="2"/>
  <c r="H66" i="2"/>
  <c r="H67" i="2"/>
  <c r="B10" i="10"/>
  <c r="E13" i="10"/>
  <c r="B22" i="10"/>
  <c r="B21" i="10"/>
  <c r="B20" i="10"/>
  <c r="B14" i="10"/>
  <c r="E12" i="10"/>
  <c r="D12" i="10"/>
  <c r="E11" i="10"/>
  <c r="D11" i="10"/>
  <c r="C12" i="10"/>
  <c r="C11" i="10"/>
  <c r="E10" i="10"/>
  <c r="D10" i="10"/>
  <c r="C10" i="10"/>
  <c r="B12" i="10"/>
  <c r="B11" i="10"/>
  <c r="E7" i="10"/>
  <c r="E6" i="10"/>
  <c r="D7" i="10"/>
  <c r="D6" i="10"/>
  <c r="C7" i="10"/>
  <c r="C6" i="10"/>
  <c r="D13" i="10"/>
  <c r="C13" i="10"/>
  <c r="B7" i="10"/>
  <c r="B6" i="10"/>
  <c r="B13" i="10"/>
  <c r="H2" i="9"/>
  <c r="G2" i="9"/>
  <c r="J2" i="9"/>
  <c r="B2" i="9"/>
  <c r="B3" i="9" s="1"/>
  <c r="C2" i="9"/>
  <c r="D2" i="9"/>
  <c r="E2" i="9"/>
  <c r="L2" i="9"/>
  <c r="K2" i="9"/>
  <c r="I2" i="9"/>
  <c r="F2" i="9"/>
  <c r="F27" i="4"/>
  <c r="C28" i="4"/>
  <c r="C25" i="4"/>
  <c r="B30" i="4"/>
  <c r="C21" i="4"/>
  <c r="C22" i="4"/>
  <c r="F19" i="4"/>
  <c r="C20" i="4"/>
  <c r="C17" i="4"/>
  <c r="C13" i="4"/>
  <c r="C14" i="4"/>
  <c r="C12" i="4"/>
  <c r="C8" i="4"/>
  <c r="C9" i="4"/>
  <c r="C7" i="4"/>
  <c r="C3" i="4"/>
  <c r="F16" i="4"/>
  <c r="F6" i="4"/>
  <c r="Q3" i="10"/>
  <c r="R3" i="10"/>
  <c r="L3" i="10"/>
  <c r="F13" i="5"/>
  <c r="G25" i="5"/>
  <c r="B5" i="5"/>
  <c r="F2" i="4"/>
  <c r="F11" i="4"/>
  <c r="F31" i="5"/>
  <c r="F24" i="4"/>
  <c r="E22" i="5"/>
  <c r="P3" i="10"/>
  <c r="O3" i="10"/>
  <c r="N3" i="10"/>
  <c r="M3" i="10"/>
  <c r="K3" i="10"/>
  <c r="J3" i="10"/>
  <c r="I3" i="10"/>
  <c r="H3" i="10"/>
  <c r="G3" i="10"/>
  <c r="C16" i="5"/>
  <c r="S3" i="10"/>
  <c r="E57" i="5" l="1"/>
  <c r="C49" i="5"/>
  <c r="H59" i="5"/>
  <c r="E17" i="5"/>
  <c r="C28" i="5"/>
  <c r="E54" i="5"/>
  <c r="H43" i="5"/>
  <c r="B35" i="5"/>
  <c r="E35" i="5"/>
  <c r="F57" i="5"/>
  <c r="F35" i="5"/>
  <c r="B31" i="5"/>
  <c r="H35" i="5"/>
  <c r="C57" i="5"/>
  <c r="H26" i="5"/>
  <c r="D24" i="5"/>
  <c r="B22" i="5"/>
  <c r="H40" i="5"/>
  <c r="D2" i="5"/>
  <c r="D39" i="5"/>
  <c r="C55" i="5"/>
  <c r="E16" i="5"/>
  <c r="B20" i="5"/>
  <c r="B23" i="5"/>
  <c r="G16" i="5"/>
  <c r="D35" i="5"/>
  <c r="B55" i="5"/>
  <c r="H16" i="5"/>
  <c r="B16" i="5"/>
  <c r="E24" i="5"/>
  <c r="E51" i="5"/>
  <c r="G8" i="5"/>
  <c r="H37" i="5"/>
  <c r="D54" i="5"/>
  <c r="D16" i="5"/>
  <c r="F24" i="5"/>
  <c r="B44" i="5"/>
  <c r="F8" i="5"/>
  <c r="B40" i="5"/>
  <c r="F54" i="5"/>
  <c r="G54" i="5"/>
  <c r="H7" i="5"/>
  <c r="H52" i="5"/>
  <c r="B58" i="5"/>
  <c r="H54" i="5"/>
  <c r="H53" i="5"/>
  <c r="C10" i="5"/>
  <c r="B18" i="5"/>
  <c r="C26" i="5"/>
  <c r="G7" i="5"/>
  <c r="F2" i="5"/>
  <c r="C2" i="5"/>
  <c r="I68" i="5"/>
  <c r="J68" i="5" s="1"/>
  <c r="B54" i="5"/>
  <c r="B57" i="5"/>
  <c r="G14" i="5"/>
  <c r="C18" i="5"/>
  <c r="D26" i="5"/>
  <c r="C39" i="5"/>
  <c r="F62" i="5"/>
  <c r="F5" i="5"/>
  <c r="B43" i="5"/>
  <c r="C8" i="5"/>
  <c r="F55" i="5"/>
  <c r="C62" i="5"/>
  <c r="B62" i="5"/>
  <c r="D30" i="5"/>
  <c r="H47" i="5"/>
  <c r="D5" i="5"/>
  <c r="F14" i="5"/>
  <c r="H22" i="5"/>
  <c r="C22" i="5"/>
  <c r="B49" i="5"/>
  <c r="B7" i="5"/>
  <c r="H10" i="5"/>
  <c r="B33" i="5"/>
  <c r="H39" i="5"/>
  <c r="G5" i="5"/>
  <c r="B30" i="5"/>
  <c r="E10" i="5"/>
  <c r="D14" i="5"/>
  <c r="E7" i="5"/>
  <c r="D22" i="5"/>
  <c r="G22" i="5"/>
  <c r="G39" i="5"/>
  <c r="B8" i="5"/>
  <c r="H29" i="5"/>
  <c r="E5" i="5"/>
  <c r="F33" i="5"/>
  <c r="D8" i="5"/>
  <c r="H5" i="5"/>
  <c r="E8" i="5"/>
  <c r="D62" i="5"/>
  <c r="I66" i="5"/>
  <c r="J66" i="5" s="1"/>
  <c r="N71" i="1" s="1"/>
  <c r="I67" i="5"/>
  <c r="J67" i="5" s="1"/>
  <c r="N72" i="1" s="1"/>
  <c r="H23" i="5"/>
  <c r="I64" i="5"/>
  <c r="J64" i="5" s="1"/>
  <c r="D57" i="5"/>
  <c r="F30" i="5"/>
  <c r="G55" i="5"/>
  <c r="D55" i="5"/>
  <c r="B10" i="5"/>
  <c r="B14" i="5"/>
  <c r="H14" i="5"/>
  <c r="G37" i="5"/>
  <c r="D38" i="5"/>
  <c r="F7" i="5"/>
  <c r="D51" i="5"/>
  <c r="D10" i="5"/>
  <c r="E41" i="5"/>
  <c r="C33" i="5"/>
  <c r="D45" i="5"/>
  <c r="F46" i="5"/>
  <c r="F49" i="5"/>
  <c r="C37" i="5"/>
  <c r="D37" i="5"/>
  <c r="C14" i="5"/>
  <c r="B59" i="5"/>
  <c r="I69" i="5"/>
  <c r="J69" i="5" s="1"/>
  <c r="G57" i="5"/>
  <c r="D53" i="5"/>
  <c r="G30" i="5"/>
  <c r="H55" i="5"/>
  <c r="F10" i="5"/>
  <c r="H4" i="5"/>
  <c r="G23" i="5"/>
  <c r="B42" i="5"/>
  <c r="B37" i="5"/>
  <c r="D7" i="5"/>
  <c r="G49" i="5"/>
  <c r="H51" i="5"/>
  <c r="C3" i="5"/>
  <c r="G51" i="5"/>
  <c r="G46" i="5"/>
  <c r="F37" i="5"/>
  <c r="E49" i="5"/>
  <c r="E3" i="5"/>
  <c r="C51" i="5"/>
  <c r="E63" i="5"/>
  <c r="D63" i="5"/>
  <c r="I65" i="5"/>
  <c r="J65" i="5" s="1"/>
  <c r="N70" i="1" s="1"/>
  <c r="H30" i="5"/>
  <c r="G24" i="5"/>
  <c r="H24" i="5"/>
  <c r="D12" i="5"/>
  <c r="G18" i="5"/>
  <c r="G38" i="5"/>
  <c r="D44" i="5"/>
  <c r="B32" i="5"/>
  <c r="B46" i="5"/>
  <c r="B15" i="5"/>
  <c r="H32" i="5"/>
  <c r="B34" i="5"/>
  <c r="G9" i="5"/>
  <c r="D18" i="5"/>
  <c r="E50" i="5"/>
  <c r="F44" i="5"/>
  <c r="E42" i="5"/>
  <c r="B48" i="5"/>
  <c r="E32" i="5"/>
  <c r="G42" i="5"/>
  <c r="G34" i="5"/>
  <c r="H46" i="5"/>
  <c r="G32" i="5"/>
  <c r="F63" i="5"/>
  <c r="D59" i="5"/>
  <c r="B63" i="5"/>
  <c r="C30" i="5"/>
  <c r="B24" i="5"/>
  <c r="F18" i="5"/>
  <c r="B26" i="5"/>
  <c r="F3" i="5"/>
  <c r="G36" i="5"/>
  <c r="F36" i="5"/>
  <c r="C15" i="5"/>
  <c r="F38" i="5"/>
  <c r="F26" i="5"/>
  <c r="H48" i="5"/>
  <c r="D42" i="5"/>
  <c r="C38" i="5"/>
  <c r="E26" i="5"/>
  <c r="G62" i="5"/>
  <c r="E62" i="5"/>
  <c r="C63" i="5"/>
  <c r="G59" i="5"/>
  <c r="H63" i="5"/>
  <c r="I70" i="5"/>
  <c r="J70" i="5" s="1"/>
  <c r="N75" i="1" s="1"/>
  <c r="D48" i="5"/>
  <c r="F40" i="5"/>
  <c r="B51" i="5"/>
  <c r="B21" i="5"/>
  <c r="H38" i="5"/>
  <c r="E18" i="5"/>
  <c r="B38" i="5"/>
  <c r="D11" i="5"/>
  <c r="H42" i="5"/>
  <c r="H34" i="5"/>
  <c r="F32" i="5"/>
  <c r="C34" i="5"/>
  <c r="B50" i="5"/>
  <c r="C48" i="5"/>
  <c r="C46" i="5"/>
  <c r="C44" i="5"/>
  <c r="C42" i="5"/>
  <c r="C40" i="5"/>
  <c r="C36" i="5"/>
  <c r="D34" i="5"/>
  <c r="D32" i="5"/>
  <c r="E59" i="5"/>
  <c r="F59" i="5"/>
  <c r="C3" i="9"/>
  <c r="D3" i="9" s="1"/>
  <c r="E3" i="9" s="1"/>
  <c r="F3" i="9" s="1"/>
  <c r="G3" i="9" s="1"/>
  <c r="H3" i="9" s="1"/>
  <c r="I3" i="9" s="1"/>
  <c r="J3" i="9" s="1"/>
  <c r="K3" i="9" s="1"/>
  <c r="L3" i="9" s="1"/>
  <c r="C5" i="9"/>
  <c r="D5" i="9" s="1"/>
  <c r="E5" i="9" s="1"/>
  <c r="F5" i="9" s="1"/>
  <c r="G5" i="9" s="1"/>
  <c r="H5" i="9" s="1"/>
  <c r="I5" i="9" s="1"/>
  <c r="J5" i="9" s="1"/>
  <c r="K5" i="9" s="1"/>
  <c r="L5" i="9" s="1"/>
  <c r="D9" i="10"/>
  <c r="E9" i="10"/>
  <c r="C9" i="10"/>
  <c r="B9" i="10"/>
  <c r="F10" i="10" s="1"/>
  <c r="H56" i="5"/>
  <c r="E56" i="5"/>
  <c r="G56" i="5"/>
  <c r="G20" i="5"/>
  <c r="B12" i="5"/>
  <c r="F9" i="5"/>
  <c r="C61" i="5"/>
  <c r="D20" i="5"/>
  <c r="F28" i="5"/>
  <c r="D28" i="5"/>
  <c r="C12" i="5"/>
  <c r="E12" i="5"/>
  <c r="G50" i="5"/>
  <c r="E34" i="5"/>
  <c r="G44" i="5"/>
  <c r="D50" i="5"/>
  <c r="B3" i="5"/>
  <c r="C11" i="5"/>
  <c r="E46" i="5"/>
  <c r="E48" i="5"/>
  <c r="C50" i="5"/>
  <c r="F11" i="5"/>
  <c r="D3" i="5"/>
  <c r="E40" i="5"/>
  <c r="F48" i="5"/>
  <c r="F50" i="5"/>
  <c r="D17" i="5"/>
  <c r="G40" i="5"/>
  <c r="C20" i="5"/>
  <c r="B28" i="5"/>
  <c r="F20" i="5"/>
  <c r="E20" i="5"/>
  <c r="G28" i="5"/>
  <c r="E28" i="5"/>
  <c r="H12" i="5"/>
  <c r="G12" i="5"/>
  <c r="B17" i="5"/>
  <c r="E44" i="5"/>
  <c r="E36" i="5"/>
  <c r="B36" i="5"/>
  <c r="G3" i="5"/>
  <c r="H36" i="5"/>
  <c r="H19" i="5"/>
  <c r="E19" i="5"/>
  <c r="G19" i="5"/>
  <c r="F19" i="5"/>
  <c r="D6" i="5"/>
  <c r="G6" i="5"/>
  <c r="B6" i="5"/>
  <c r="H6" i="5"/>
  <c r="D19" i="5"/>
  <c r="C6" i="5"/>
  <c r="N73" i="1"/>
  <c r="H61" i="5"/>
  <c r="D27" i="5"/>
  <c r="G27" i="5"/>
  <c r="B27" i="5"/>
  <c r="C27" i="5"/>
  <c r="D60" i="5"/>
  <c r="G60" i="5"/>
  <c r="F60" i="5"/>
  <c r="C29" i="5"/>
  <c r="G29" i="5"/>
  <c r="C53" i="5"/>
  <c r="D47" i="5"/>
  <c r="D4" i="5"/>
  <c r="B29" i="5"/>
  <c r="C19" i="5"/>
  <c r="B45" i="5"/>
  <c r="F45" i="5"/>
  <c r="G45" i="5"/>
  <c r="D43" i="5"/>
  <c r="E43" i="5"/>
  <c r="G43" i="5"/>
  <c r="F43" i="5"/>
  <c r="H41" i="5"/>
  <c r="G41" i="5"/>
  <c r="H33" i="5"/>
  <c r="E33" i="5"/>
  <c r="G33" i="5"/>
  <c r="C31" i="5"/>
  <c r="D31" i="5"/>
  <c r="G31" i="5"/>
  <c r="E31" i="5"/>
  <c r="E23" i="5"/>
  <c r="C23" i="5"/>
  <c r="F23" i="5"/>
  <c r="D15" i="5"/>
  <c r="F15" i="5"/>
  <c r="E15" i="5"/>
  <c r="G15" i="5"/>
  <c r="D56" i="5"/>
  <c r="C56" i="5"/>
  <c r="B56" i="5"/>
  <c r="G11" i="5"/>
  <c r="H11" i="5"/>
  <c r="E11" i="5"/>
  <c r="E47" i="5"/>
  <c r="G47" i="5"/>
  <c r="E52" i="5"/>
  <c r="F52" i="5"/>
  <c r="B52" i="5"/>
  <c r="G52" i="5"/>
  <c r="H58" i="5"/>
  <c r="G58" i="5"/>
  <c r="E60" i="5"/>
  <c r="E61" i="5"/>
  <c r="D61" i="5"/>
  <c r="B61" i="5"/>
  <c r="G61" i="5"/>
  <c r="D58" i="5"/>
  <c r="F47" i="5"/>
  <c r="F4" i="5"/>
  <c r="E21" i="5"/>
  <c r="H21" i="5"/>
  <c r="D13" i="5"/>
  <c r="C13" i="5"/>
  <c r="C60" i="5"/>
  <c r="E53" i="5"/>
  <c r="F29" i="5"/>
  <c r="F27" i="5"/>
  <c r="E27" i="5"/>
  <c r="C21" i="5"/>
  <c r="G13" i="5"/>
  <c r="F53" i="5"/>
  <c r="D21" i="5"/>
  <c r="C58" i="5"/>
  <c r="G53" i="5"/>
  <c r="E58" i="5"/>
  <c r="B47" i="5"/>
  <c r="C4" i="5"/>
  <c r="B4" i="5"/>
  <c r="G21" i="5"/>
  <c r="B39" i="5"/>
  <c r="E29" i="5"/>
  <c r="H49" i="5"/>
  <c r="H13" i="5"/>
  <c r="D41" i="5"/>
  <c r="F6" i="5"/>
  <c r="E45" i="5"/>
  <c r="C35" i="5"/>
  <c r="H45" i="5"/>
  <c r="B41" i="5"/>
  <c r="E13" i="5"/>
  <c r="F39" i="5"/>
  <c r="F41" i="5"/>
  <c r="C25" i="5"/>
  <c r="F25" i="5"/>
  <c r="B25" i="5"/>
  <c r="D25" i="5"/>
  <c r="H25" i="5"/>
  <c r="G17" i="5"/>
  <c r="C17" i="5"/>
  <c r="F17" i="5"/>
  <c r="H9" i="5"/>
  <c r="B9" i="5"/>
  <c r="E9" i="5"/>
  <c r="C9" i="5"/>
  <c r="E6" i="5"/>
  <c r="E4" i="5"/>
  <c r="H2" i="5"/>
  <c r="G2" i="5"/>
  <c r="B2" i="5"/>
  <c r="C52" i="5"/>
  <c r="B60" i="5"/>
  <c r="T3" i="10"/>
  <c r="F31" i="4"/>
  <c r="B18" i="10"/>
  <c r="B17" i="10"/>
  <c r="B16" i="10"/>
  <c r="I62" i="5" l="1"/>
  <c r="J62" i="5" s="1"/>
  <c r="N74" i="1" s="1"/>
  <c r="I54" i="5"/>
  <c r="J54" i="5" s="1"/>
  <c r="I16" i="5"/>
  <c r="J16" i="5" s="1"/>
  <c r="I35" i="5"/>
  <c r="J35" i="5" s="1"/>
  <c r="I8" i="5"/>
  <c r="J8" i="5" s="1"/>
  <c r="I5" i="5"/>
  <c r="J5" i="5" s="1"/>
  <c r="I24" i="5"/>
  <c r="J24" i="5" s="1"/>
  <c r="I37" i="5"/>
  <c r="J37" i="5" s="1"/>
  <c r="I22" i="5"/>
  <c r="J22" i="5" s="1"/>
  <c r="I38" i="5"/>
  <c r="J38" i="5" s="1"/>
  <c r="I30" i="5"/>
  <c r="J30" i="5" s="1"/>
  <c r="I57" i="5"/>
  <c r="J57" i="5" s="1"/>
  <c r="I51" i="5"/>
  <c r="J51" i="5" s="1"/>
  <c r="I59" i="5"/>
  <c r="J59" i="5" s="1"/>
  <c r="I18" i="5"/>
  <c r="J18" i="5" s="1"/>
  <c r="I32" i="5"/>
  <c r="J32" i="5" s="1"/>
  <c r="I7" i="5"/>
  <c r="J7" i="5" s="1"/>
  <c r="I14" i="5"/>
  <c r="J14" i="5" s="1"/>
  <c r="I10" i="5"/>
  <c r="J10" i="5" s="1"/>
  <c r="I55" i="5"/>
  <c r="J55" i="5" s="1"/>
  <c r="I44" i="5"/>
  <c r="J44" i="5" s="1"/>
  <c r="I63" i="5"/>
  <c r="J63" i="5" s="1"/>
  <c r="N68" i="1" s="1"/>
  <c r="I49" i="5"/>
  <c r="J49" i="5" s="1"/>
  <c r="I26" i="5"/>
  <c r="J26" i="5" s="1"/>
  <c r="I46" i="5"/>
  <c r="J46" i="5" s="1"/>
  <c r="I42" i="5"/>
  <c r="J42" i="5" s="1"/>
  <c r="I34" i="5"/>
  <c r="J34" i="5" s="1"/>
  <c r="I40" i="5"/>
  <c r="J40" i="5" s="1"/>
  <c r="I48" i="5"/>
  <c r="J48" i="5" s="1"/>
  <c r="I39" i="5"/>
  <c r="J39" i="5" s="1"/>
  <c r="I29" i="5"/>
  <c r="J29" i="5" s="1"/>
  <c r="I3" i="5"/>
  <c r="J3" i="5" s="1"/>
  <c r="I2" i="5"/>
  <c r="J2" i="5" s="1"/>
  <c r="I50" i="5"/>
  <c r="J50" i="5" s="1"/>
  <c r="I20" i="5"/>
  <c r="J20" i="5" s="1"/>
  <c r="I12" i="5"/>
  <c r="J12" i="5" s="1"/>
  <c r="F12" i="10"/>
  <c r="F11" i="10"/>
  <c r="I13" i="5"/>
  <c r="J13" i="5" s="1"/>
  <c r="I4" i="5"/>
  <c r="J4" i="5" s="1"/>
  <c r="I58" i="5"/>
  <c r="J58" i="5" s="1"/>
  <c r="I23" i="5"/>
  <c r="J23" i="5" s="1"/>
  <c r="I53" i="5"/>
  <c r="J53" i="5" s="1"/>
  <c r="N59" i="1" s="1"/>
  <c r="I28" i="5"/>
  <c r="J28" i="5" s="1"/>
  <c r="I52" i="5"/>
  <c r="J52" i="5" s="1"/>
  <c r="I9" i="5"/>
  <c r="J9" i="5" s="1"/>
  <c r="I45" i="5"/>
  <c r="J45" i="5" s="1"/>
  <c r="I47" i="5"/>
  <c r="J47" i="5" s="1"/>
  <c r="N53" i="1" s="1"/>
  <c r="I27" i="5"/>
  <c r="J27" i="5" s="1"/>
  <c r="I60" i="5"/>
  <c r="J60" i="5" s="1"/>
  <c r="I15" i="5"/>
  <c r="J15" i="5" s="1"/>
  <c r="I33" i="5"/>
  <c r="J33" i="5" s="1"/>
  <c r="I41" i="5"/>
  <c r="J41" i="5" s="1"/>
  <c r="I43" i="5"/>
  <c r="J43" i="5" s="1"/>
  <c r="I36" i="5"/>
  <c r="J36" i="5" s="1"/>
  <c r="I21" i="5"/>
  <c r="J21" i="5" s="1"/>
  <c r="N25" i="1" s="1"/>
  <c r="I56" i="5"/>
  <c r="J56" i="5" s="1"/>
  <c r="I6" i="5"/>
  <c r="J6" i="5" s="1"/>
  <c r="I17" i="5"/>
  <c r="J17" i="5" s="1"/>
  <c r="I25" i="5"/>
  <c r="J25" i="5" s="1"/>
  <c r="I11" i="5"/>
  <c r="J11" i="5" s="1"/>
  <c r="I31" i="5"/>
  <c r="J31" i="5" s="1"/>
  <c r="N35" i="1" s="1"/>
  <c r="I61" i="5"/>
  <c r="J61" i="5" s="1"/>
  <c r="N67" i="1" s="1"/>
  <c r="I19" i="5"/>
  <c r="J19" i="5" s="1"/>
  <c r="N23" i="1" s="1"/>
  <c r="N48" i="1" l="1"/>
  <c r="N42" i="1"/>
  <c r="N29" i="1"/>
  <c r="N36" i="1"/>
  <c r="N34" i="1"/>
  <c r="N41" i="1"/>
  <c r="N13" i="1"/>
  <c r="N27" i="1"/>
  <c r="N22" i="1"/>
  <c r="N62" i="1"/>
  <c r="N47" i="1"/>
  <c r="N50" i="1"/>
  <c r="N11" i="1"/>
  <c r="N66" i="1"/>
  <c r="N57" i="1"/>
  <c r="N64" i="1"/>
  <c r="N49" i="1"/>
  <c r="N43" i="1"/>
  <c r="N38" i="1"/>
  <c r="N31" i="1"/>
  <c r="N54" i="1"/>
  <c r="N45" i="1"/>
  <c r="N52" i="1"/>
  <c r="N21" i="1"/>
  <c r="N40" i="1"/>
  <c r="N51" i="1"/>
  <c r="N63" i="1"/>
  <c r="N39" i="1"/>
  <c r="N46" i="1"/>
  <c r="N61" i="1"/>
  <c r="N37" i="1"/>
  <c r="N32" i="1"/>
  <c r="N26" i="1"/>
  <c r="N58" i="1"/>
  <c r="N44" i="1"/>
  <c r="N24" i="1"/>
  <c r="N33" i="1"/>
  <c r="N14" i="1"/>
  <c r="N55" i="1"/>
  <c r="N28" i="1"/>
  <c r="D36" i="4" l="1"/>
  <c r="D35" i="4"/>
  <c r="D37" i="4"/>
  <c r="D34" i="4"/>
  <c r="E34" i="4" l="1"/>
  <c r="E36" i="4"/>
  <c r="E37" i="4"/>
  <c r="E35" i="4"/>
</calcChain>
</file>

<file path=xl/comments1.xml><?xml version="1.0" encoding="utf-8"?>
<comments xmlns="http://schemas.openxmlformats.org/spreadsheetml/2006/main">
  <authors>
    <author>Kevin Hou</author>
    <author>Sam Abazly</author>
  </authors>
  <commentList>
    <comment ref="P7" authorId="0" shapeId="0">
      <text>
        <r>
          <rPr>
            <b/>
            <sz val="9"/>
            <color indexed="81"/>
            <rFont val="Tahoma"/>
            <family val="2"/>
          </rPr>
          <t>Kevin Hou:</t>
        </r>
        <r>
          <rPr>
            <sz val="9"/>
            <color indexed="81"/>
            <rFont val="Tahoma"/>
            <family val="2"/>
          </rPr>
          <t xml:space="preserve">
Targeted for cA 8.7</t>
        </r>
      </text>
    </comment>
    <comment ref="F8" authorId="0" shapeId="0">
      <text>
        <r>
          <rPr>
            <b/>
            <sz val="9"/>
            <color indexed="81"/>
            <rFont val="Tahoma"/>
            <family val="2"/>
          </rPr>
          <t>Kevin Hou:</t>
        </r>
        <r>
          <rPr>
            <sz val="9"/>
            <color indexed="81"/>
            <rFont val="Tahoma"/>
            <family val="2"/>
          </rPr>
          <t xml:space="preserve">
Turn off auto post</t>
        </r>
      </text>
    </comment>
    <comment ref="F10" authorId="1" shapeId="0">
      <text>
        <r>
          <rPr>
            <b/>
            <sz val="9"/>
            <color indexed="81"/>
            <rFont val="Tahoma"/>
            <family val="2"/>
          </rPr>
          <t>Sam Abazly:</t>
        </r>
        <r>
          <rPr>
            <sz val="9"/>
            <color indexed="81"/>
            <rFont val="Tahoma"/>
            <family val="2"/>
          </rPr>
          <t xml:space="preserve">
The only workaround is to not mark it as a promo rate plan OR do not choose a 0% off rate bucket</t>
        </r>
      </text>
    </comment>
    <comment ref="P10" authorId="0" shapeId="0">
      <text>
        <r>
          <rPr>
            <b/>
            <sz val="9"/>
            <color indexed="81"/>
            <rFont val="Tahoma"/>
            <family val="2"/>
          </rPr>
          <t>Kevin Hou:</t>
        </r>
        <r>
          <rPr>
            <sz val="9"/>
            <color indexed="81"/>
            <rFont val="Tahoma"/>
            <family val="2"/>
          </rPr>
          <t xml:space="preserve">
Targeted for cA 8.8</t>
        </r>
      </text>
    </comment>
    <comment ref="F11" authorId="0" shapeId="0">
      <text>
        <r>
          <rPr>
            <b/>
            <sz val="9"/>
            <color indexed="81"/>
            <rFont val="Tahoma"/>
            <family val="2"/>
          </rPr>
          <t>Kevin Hou:</t>
        </r>
        <r>
          <rPr>
            <sz val="9"/>
            <color indexed="81"/>
            <rFont val="Tahoma"/>
            <family val="2"/>
          </rPr>
          <t xml:space="preserve">
Manually move one item line at a time</t>
        </r>
      </text>
    </comment>
    <comment ref="P11" authorId="0" shapeId="0">
      <text>
        <r>
          <rPr>
            <b/>
            <sz val="9"/>
            <color indexed="81"/>
            <rFont val="Tahoma"/>
            <family val="2"/>
          </rPr>
          <t>Kevin Hou:</t>
        </r>
        <r>
          <rPr>
            <sz val="9"/>
            <color indexed="81"/>
            <rFont val="Tahoma"/>
            <family val="2"/>
          </rPr>
          <t xml:space="preserve">
Target for cA 8.8</t>
        </r>
      </text>
    </comment>
    <comment ref="B13" authorId="0" shapeId="0">
      <text>
        <r>
          <rPr>
            <b/>
            <sz val="9"/>
            <color indexed="81"/>
            <rFont val="Tahoma"/>
            <family val="2"/>
          </rPr>
          <t>Kevin Hou:</t>
        </r>
        <r>
          <rPr>
            <sz val="9"/>
            <color indexed="81"/>
            <rFont val="Tahoma"/>
            <family val="2"/>
          </rPr>
          <t xml:space="preserve">
Just need to track this to make sure this get delivered
</t>
        </r>
      </text>
    </comment>
    <comment ref="F16" authorId="1" shapeId="0">
      <text>
        <r>
          <rPr>
            <b/>
            <sz val="9"/>
            <color indexed="81"/>
            <rFont val="Tahoma"/>
            <family val="2"/>
          </rPr>
          <t>Sam Abazly:</t>
        </r>
        <r>
          <rPr>
            <sz val="9"/>
            <color indexed="81"/>
            <rFont val="Tahoma"/>
            <family val="2"/>
          </rPr>
          <t xml:space="preserve">
Print desired reports regularly in advance of potential outages OR if due to internet/power outage on site, print from another location</t>
        </r>
      </text>
    </comment>
    <comment ref="P16" authorId="0" shapeId="0">
      <text>
        <r>
          <rPr>
            <b/>
            <sz val="9"/>
            <color indexed="81"/>
            <rFont val="Tahoma"/>
            <family val="2"/>
          </rPr>
          <t>Kevin Hou:</t>
        </r>
        <r>
          <rPr>
            <sz val="9"/>
            <color indexed="81"/>
            <rFont val="Tahoma"/>
            <family val="2"/>
          </rPr>
          <t xml:space="preserve">
Move to backlog pending Choice responses to SSRS migration reqeust</t>
        </r>
      </text>
    </comment>
    <comment ref="F17" authorId="1" shapeId="0">
      <text>
        <r>
          <rPr>
            <b/>
            <sz val="9"/>
            <color indexed="81"/>
            <rFont val="Tahoma"/>
            <family val="2"/>
          </rPr>
          <t>Sam Abazly:</t>
        </r>
        <r>
          <rPr>
            <sz val="9"/>
            <color indexed="81"/>
            <rFont val="Tahoma"/>
            <family val="2"/>
          </rPr>
          <t xml:space="preserve">
Print desired reports regularly in advance of potential outages OR if due to internet/power outage on site, print from another location</t>
        </r>
      </text>
    </comment>
    <comment ref="P17" authorId="0" shapeId="0">
      <text>
        <r>
          <rPr>
            <b/>
            <sz val="9"/>
            <color indexed="81"/>
            <rFont val="Tahoma"/>
            <family val="2"/>
          </rPr>
          <t>Kevin Hou:</t>
        </r>
        <r>
          <rPr>
            <sz val="9"/>
            <color indexed="81"/>
            <rFont val="Tahoma"/>
            <family val="2"/>
          </rPr>
          <t xml:space="preserve">
Move to backlog pending Choice responses to SSRS migration reqeust</t>
        </r>
      </text>
    </comment>
    <comment ref="E18" authorId="1" shapeId="0">
      <text>
        <r>
          <rPr>
            <b/>
            <sz val="9"/>
            <color indexed="81"/>
            <rFont val="Tahoma"/>
            <family val="2"/>
          </rPr>
          <t>Sam Abazly:</t>
        </r>
        <r>
          <rPr>
            <sz val="9"/>
            <color indexed="81"/>
            <rFont val="Tahoma"/>
            <family val="2"/>
          </rPr>
          <t xml:space="preserve">
Is this a showstopper? How are we doing conversions today?</t>
        </r>
      </text>
    </comment>
    <comment ref="D19" authorId="0" shapeId="0">
      <text>
        <r>
          <rPr>
            <b/>
            <sz val="9"/>
            <color indexed="81"/>
            <rFont val="Tahoma"/>
            <family val="2"/>
          </rPr>
          <t>Kevin Hou:</t>
        </r>
        <r>
          <rPr>
            <sz val="9"/>
            <color indexed="81"/>
            <rFont val="Tahoma"/>
            <family val="2"/>
          </rPr>
          <t xml:space="preserve">
Impacting MLOS</t>
        </r>
      </text>
    </comment>
    <comment ref="E19" authorId="1" shapeId="0">
      <text>
        <r>
          <rPr>
            <b/>
            <sz val="9"/>
            <color indexed="81"/>
            <rFont val="Tahoma"/>
            <family val="2"/>
          </rPr>
          <t>Sam Abazly:</t>
        </r>
        <r>
          <rPr>
            <sz val="9"/>
            <color indexed="81"/>
            <rFont val="Tahoma"/>
            <family val="2"/>
          </rPr>
          <t xml:space="preserve">
Thought to be related to 10302, and we want them to be worked together</t>
        </r>
      </text>
    </comment>
    <comment ref="F22" authorId="0" shapeId="0">
      <text>
        <r>
          <rPr>
            <b/>
            <sz val="9"/>
            <color indexed="81"/>
            <rFont val="Tahoma"/>
            <family val="2"/>
          </rPr>
          <t>Kevin Hou:</t>
        </r>
        <r>
          <rPr>
            <sz val="9"/>
            <color indexed="81"/>
            <rFont val="Tahoma"/>
            <family val="2"/>
          </rPr>
          <t xml:space="preserve">
Package end end date is cA cannot be changed</t>
        </r>
      </text>
    </comment>
    <comment ref="P22" authorId="0" shapeId="0">
      <text>
        <r>
          <rPr>
            <b/>
            <sz val="9"/>
            <color indexed="81"/>
            <rFont val="Tahoma"/>
            <charset val="1"/>
          </rPr>
          <t>Kevin Hou:</t>
        </r>
        <r>
          <rPr>
            <sz val="9"/>
            <color indexed="81"/>
            <rFont val="Tahoma"/>
            <charset val="1"/>
          </rPr>
          <t xml:space="preserve">
8.9</t>
        </r>
      </text>
    </comment>
    <comment ref="F23" authorId="0" shapeId="0">
      <text>
        <r>
          <rPr>
            <b/>
            <sz val="9"/>
            <color indexed="81"/>
            <rFont val="Tahoma"/>
            <family val="2"/>
          </rPr>
          <t>Kevin Hou:</t>
        </r>
        <r>
          <rPr>
            <sz val="9"/>
            <color indexed="81"/>
            <rFont val="Tahoma"/>
            <family val="2"/>
          </rPr>
          <t xml:space="preserve">
move the rooms in question to other rooms and then move them back to the original room so that the system refreshes the status of the room, create security concern (Kevin needs to clearfy this), check out and undo the check out immediately.</t>
        </r>
      </text>
    </comment>
    <comment ref="N23" authorId="0" shapeId="0">
      <text>
        <r>
          <rPr>
            <b/>
            <sz val="9"/>
            <color indexed="81"/>
            <rFont val="Tahoma"/>
            <family val="2"/>
          </rPr>
          <t>Kevin Hou:</t>
        </r>
        <r>
          <rPr>
            <sz val="9"/>
            <color indexed="81"/>
            <rFont val="Tahoma"/>
            <family val="2"/>
          </rPr>
          <t xml:space="preserve">
Enven this is "low" priority, we still rank this high, as this defect has significant impact on guest satisfaction and daily operation</t>
        </r>
      </text>
    </comment>
    <comment ref="P23" authorId="0" shapeId="0">
      <text>
        <r>
          <rPr>
            <b/>
            <sz val="9"/>
            <color indexed="81"/>
            <rFont val="Tahoma"/>
            <family val="2"/>
          </rPr>
          <t>Kevin Hou:</t>
        </r>
        <r>
          <rPr>
            <sz val="9"/>
            <color indexed="81"/>
            <rFont val="Tahoma"/>
            <family val="2"/>
          </rPr>
          <t xml:space="preserve">
Targeted for cA 8.9</t>
        </r>
      </text>
    </comment>
    <comment ref="P25" authorId="0" shapeId="0">
      <text>
        <r>
          <rPr>
            <b/>
            <sz val="9"/>
            <color indexed="81"/>
            <rFont val="Tahoma"/>
            <charset val="1"/>
          </rPr>
          <t>Kevin Hou:</t>
        </r>
        <r>
          <rPr>
            <sz val="9"/>
            <color indexed="81"/>
            <rFont val="Tahoma"/>
            <charset val="1"/>
          </rPr>
          <t xml:space="preserve">
Working with EAS to replicate this</t>
        </r>
      </text>
    </comment>
    <comment ref="F27" authorId="0" shapeId="0">
      <text>
        <r>
          <rPr>
            <b/>
            <sz val="9"/>
            <color indexed="81"/>
            <rFont val="Tahoma"/>
            <family val="2"/>
          </rPr>
          <t xml:space="preserve">Kevin Hou:
</t>
        </r>
        <r>
          <rPr>
            <sz val="9"/>
            <color indexed="81"/>
            <rFont val="Tahoma"/>
            <family val="2"/>
          </rPr>
          <t>Find out the CP number from AI.</t>
        </r>
      </text>
    </comment>
    <comment ref="N28" authorId="0" shapeId="0">
      <text>
        <r>
          <rPr>
            <b/>
            <sz val="9"/>
            <color indexed="81"/>
            <rFont val="Tahoma"/>
            <family val="2"/>
          </rPr>
          <t>Kevin Hou:</t>
        </r>
        <r>
          <rPr>
            <sz val="9"/>
            <color indexed="81"/>
            <rFont val="Tahoma"/>
            <family val="2"/>
          </rPr>
          <t xml:space="preserve">
Used not as often as no.7</t>
        </r>
      </text>
    </comment>
    <comment ref="F29" authorId="0" shapeId="0">
      <text>
        <r>
          <rPr>
            <b/>
            <sz val="9"/>
            <color indexed="81"/>
            <rFont val="Tahoma"/>
            <family val="2"/>
          </rPr>
          <t>Kevin Hou:</t>
        </r>
        <r>
          <rPr>
            <sz val="9"/>
            <color indexed="81"/>
            <rFont val="Tahoma"/>
            <family val="2"/>
          </rPr>
          <t xml:space="preserve">
Uncheck the removed room type from the package within cA</t>
        </r>
      </text>
    </comment>
    <comment ref="F31" authorId="0" shapeId="0">
      <text>
        <r>
          <rPr>
            <b/>
            <sz val="9"/>
            <color indexed="81"/>
            <rFont val="Tahoma"/>
            <family val="2"/>
          </rPr>
          <t>Kevin Hou:</t>
        </r>
        <r>
          <rPr>
            <sz val="9"/>
            <color indexed="81"/>
            <rFont val="Tahoma"/>
            <family val="2"/>
          </rPr>
          <t xml:space="preserve">
disable the Allow Event Rates By Day feature</t>
        </r>
      </text>
    </comment>
    <comment ref="F33" authorId="0" shapeId="0">
      <text>
        <r>
          <rPr>
            <b/>
            <sz val="9"/>
            <color indexed="81"/>
            <rFont val="Tahoma"/>
            <family val="2"/>
          </rPr>
          <t>Kevin Hou:
Bi-weekly report, ST update that flag</t>
        </r>
      </text>
    </comment>
    <comment ref="F35" authorId="0" shapeId="0">
      <text>
        <r>
          <rPr>
            <b/>
            <sz val="9"/>
            <color indexed="81"/>
            <rFont val="Tahoma"/>
            <family val="2"/>
          </rPr>
          <t>Kevin Hou:</t>
        </r>
        <r>
          <rPr>
            <sz val="9"/>
            <color indexed="81"/>
            <rFont val="Tahoma"/>
            <family val="2"/>
          </rPr>
          <t xml:space="preserve">
Manually download and email</t>
        </r>
      </text>
    </comment>
    <comment ref="F36" authorId="0" shapeId="0">
      <text>
        <r>
          <rPr>
            <b/>
            <sz val="9"/>
            <color indexed="81"/>
            <rFont val="Tahoma"/>
            <family val="2"/>
          </rPr>
          <t>Kevin Hou:</t>
        </r>
        <r>
          <rPr>
            <sz val="9"/>
            <color indexed="81"/>
            <rFont val="Tahoma"/>
            <family val="2"/>
          </rPr>
          <t xml:space="preserve">
make a rate plan with the same package code, and then associate it to the package</t>
        </r>
      </text>
    </comment>
    <comment ref="D40" authorId="0" shapeId="0">
      <text>
        <r>
          <rPr>
            <b/>
            <sz val="9"/>
            <color indexed="81"/>
            <rFont val="Tahoma"/>
            <family val="2"/>
          </rPr>
          <t>Kevin Hou:</t>
        </r>
        <r>
          <rPr>
            <sz val="9"/>
            <color indexed="81"/>
            <rFont val="Tahoma"/>
            <family val="2"/>
          </rPr>
          <t xml:space="preserve">
Tax Invoice
AR Tax Invoice
Credit Note
Folio (Group and House)
Pro Forma (Guest, Group and House)
Registration Card
</t>
        </r>
      </text>
    </comment>
    <comment ref="F41" authorId="0" shapeId="0">
      <text>
        <r>
          <rPr>
            <b/>
            <sz val="9"/>
            <color indexed="81"/>
            <rFont val="Tahoma"/>
            <family val="2"/>
          </rPr>
          <t>Kevin Hou:</t>
        </r>
        <r>
          <rPr>
            <sz val="9"/>
            <color indexed="81"/>
            <rFont val="Tahoma"/>
            <family val="2"/>
          </rPr>
          <t xml:space="preserve">
rate plans have had the correct Channels added to them</t>
        </r>
      </text>
    </comment>
    <comment ref="N41" authorId="0" shapeId="0">
      <text>
        <r>
          <rPr>
            <b/>
            <sz val="9"/>
            <color indexed="81"/>
            <rFont val="Tahoma"/>
            <family val="2"/>
          </rPr>
          <t>Kevin Hou:</t>
        </r>
        <r>
          <rPr>
            <sz val="9"/>
            <color indexed="81"/>
            <rFont val="Tahoma"/>
            <family val="2"/>
          </rPr>
          <t xml:space="preserve">
Used not often</t>
        </r>
      </text>
    </comment>
    <comment ref="F42" authorId="0" shapeId="0">
      <text>
        <r>
          <rPr>
            <b/>
            <sz val="9"/>
            <color indexed="81"/>
            <rFont val="Tahoma"/>
            <family val="2"/>
          </rPr>
          <t>Kevin Hou:</t>
        </r>
        <r>
          <rPr>
            <sz val="9"/>
            <color indexed="81"/>
            <rFont val="Tahoma"/>
            <family val="2"/>
          </rPr>
          <t xml:space="preserve">
Remove some of the reports from the Night Audit batch. AR Aging is a time consuming report</t>
        </r>
      </text>
    </comment>
    <comment ref="B43" authorId="0" shapeId="0">
      <text>
        <r>
          <rPr>
            <b/>
            <sz val="9"/>
            <color indexed="81"/>
            <rFont val="Tahoma"/>
            <family val="2"/>
          </rPr>
          <t>Kevin Hou:</t>
        </r>
        <r>
          <rPr>
            <sz val="9"/>
            <color indexed="81"/>
            <rFont val="Tahoma"/>
            <family val="2"/>
          </rPr>
          <t xml:space="preserve">
Causing rate parity</t>
        </r>
      </text>
    </comment>
    <comment ref="F43" authorId="0" shapeId="0">
      <text>
        <r>
          <rPr>
            <b/>
            <sz val="9"/>
            <color indexed="81"/>
            <rFont val="Tahoma"/>
            <family val="2"/>
          </rPr>
          <t>Kevin Hou:</t>
        </r>
        <r>
          <rPr>
            <sz val="9"/>
            <color indexed="81"/>
            <rFont val="Tahoma"/>
            <family val="2"/>
          </rPr>
          <t xml:space="preserve">
activate the parent, then deactivate the parent to remove the child rates</t>
        </r>
      </text>
    </comment>
    <comment ref="F45" authorId="0" shapeId="0">
      <text>
        <r>
          <rPr>
            <b/>
            <sz val="9"/>
            <color indexed="81"/>
            <rFont val="Tahoma"/>
            <family val="2"/>
          </rPr>
          <t>Kevin Hou:</t>
        </r>
        <r>
          <rPr>
            <sz val="9"/>
            <color indexed="81"/>
            <rFont val="Tahoma"/>
            <family val="2"/>
          </rPr>
          <t xml:space="preserve">
Rebuild promo
</t>
        </r>
      </text>
    </comment>
    <comment ref="N46" authorId="0" shapeId="0">
      <text>
        <r>
          <rPr>
            <b/>
            <sz val="9"/>
            <color indexed="81"/>
            <rFont val="Tahoma"/>
            <family val="2"/>
          </rPr>
          <t>Kevin Hou:</t>
        </r>
        <r>
          <rPr>
            <sz val="9"/>
            <color indexed="81"/>
            <rFont val="Tahoma"/>
            <family val="2"/>
          </rPr>
          <t xml:space="preserve">
Used not often
</t>
        </r>
      </text>
    </comment>
    <comment ref="N47" authorId="0" shapeId="0">
      <text>
        <r>
          <rPr>
            <b/>
            <sz val="9"/>
            <color indexed="81"/>
            <rFont val="Tahoma"/>
            <family val="2"/>
          </rPr>
          <t>Kevin Hou:</t>
        </r>
        <r>
          <rPr>
            <sz val="9"/>
            <color indexed="81"/>
            <rFont val="Tahoma"/>
            <family val="2"/>
          </rPr>
          <t xml:space="preserve">
Used not often</t>
        </r>
      </text>
    </comment>
    <comment ref="F48" authorId="0" shapeId="0">
      <text>
        <r>
          <rPr>
            <b/>
            <sz val="9"/>
            <color indexed="81"/>
            <rFont val="Tahoma"/>
            <family val="2"/>
          </rPr>
          <t>Kevin Hou:</t>
        </r>
        <r>
          <rPr>
            <sz val="9"/>
            <color indexed="81"/>
            <rFont val="Tahoma"/>
            <family val="2"/>
          </rPr>
          <t xml:space="preserve">
Manually adjust folio</t>
        </r>
      </text>
    </comment>
    <comment ref="B49" authorId="0" shapeId="0">
      <text>
        <r>
          <rPr>
            <b/>
            <sz val="9"/>
            <color indexed="81"/>
            <rFont val="Tahoma"/>
            <charset val="1"/>
          </rPr>
          <t>Kevin Hou:</t>
        </r>
        <r>
          <rPr>
            <sz val="9"/>
            <color indexed="81"/>
            <rFont val="Tahoma"/>
            <charset val="1"/>
          </rPr>
          <t xml:space="preserve">
Might be a enhancement</t>
        </r>
      </text>
    </comment>
    <comment ref="N51" authorId="0" shapeId="0">
      <text>
        <r>
          <rPr>
            <b/>
            <sz val="9"/>
            <color indexed="81"/>
            <rFont val="Tahoma"/>
            <family val="2"/>
          </rPr>
          <t>Kevin Hou:</t>
        </r>
        <r>
          <rPr>
            <sz val="9"/>
            <color indexed="81"/>
            <rFont val="Tahoma"/>
            <family val="2"/>
          </rPr>
          <t xml:space="preserve">
Used not often</t>
        </r>
      </text>
    </comment>
    <comment ref="F53" authorId="0" shapeId="0">
      <text>
        <r>
          <rPr>
            <b/>
            <sz val="9"/>
            <color indexed="81"/>
            <rFont val="Tahoma"/>
            <family val="2"/>
          </rPr>
          <t>Kevin Hou:</t>
        </r>
        <r>
          <rPr>
            <sz val="9"/>
            <color indexed="81"/>
            <rFont val="Tahoma"/>
            <family val="2"/>
          </rPr>
          <t xml:space="preserve">
Possible solution is to change the company information on the guest info to match the direct bill account, print the folio so that it displays the correct information, and then change the guest info back to the original company profile</t>
        </r>
      </text>
    </comment>
    <comment ref="F55" authorId="1" shapeId="0">
      <text>
        <r>
          <rPr>
            <b/>
            <sz val="9"/>
            <color indexed="81"/>
            <rFont val="Tahoma"/>
            <family val="2"/>
          </rPr>
          <t>Sam Abazly:</t>
        </r>
        <r>
          <rPr>
            <sz val="9"/>
            <color indexed="81"/>
            <rFont val="Tahoma"/>
            <family val="2"/>
          </rPr>
          <t xml:space="preserve">
ST manually reports on this and fixes values daily</t>
        </r>
      </text>
    </comment>
    <comment ref="E57" authorId="1" shapeId="0">
      <text>
        <r>
          <rPr>
            <b/>
            <sz val="9"/>
            <color indexed="81"/>
            <rFont val="Tahoma"/>
            <family val="2"/>
          </rPr>
          <t>Sam Abazly:</t>
        </r>
        <r>
          <rPr>
            <sz val="9"/>
            <color indexed="81"/>
            <rFont val="Tahoma"/>
            <family val="2"/>
          </rPr>
          <t xml:space="preserve">
Will a property get charged back on this?</t>
        </r>
      </text>
    </comment>
    <comment ref="P58" authorId="0" shapeId="0">
      <text>
        <r>
          <rPr>
            <b/>
            <sz val="9"/>
            <color indexed="81"/>
            <rFont val="Tahoma"/>
            <family val="2"/>
          </rPr>
          <t>Kevin Hou:</t>
        </r>
        <r>
          <rPr>
            <sz val="9"/>
            <color indexed="81"/>
            <rFont val="Tahoma"/>
            <family val="2"/>
          </rPr>
          <t xml:space="preserve">
Dev requested more info on recreation steps.</t>
        </r>
      </text>
    </comment>
    <comment ref="B61" authorId="0" shapeId="0">
      <text>
        <r>
          <rPr>
            <b/>
            <sz val="9"/>
            <color indexed="81"/>
            <rFont val="Tahoma"/>
            <family val="2"/>
          </rPr>
          <t>Kevin Hou:</t>
        </r>
        <r>
          <rPr>
            <sz val="9"/>
            <color indexed="81"/>
            <rFont val="Tahoma"/>
            <family val="2"/>
          </rPr>
          <t xml:space="preserve">
7
</t>
        </r>
      </text>
    </comment>
    <comment ref="C61" authorId="0" shapeId="0">
      <text>
        <r>
          <rPr>
            <b/>
            <sz val="9"/>
            <color indexed="81"/>
            <rFont val="Tahoma"/>
            <charset val="1"/>
          </rPr>
          <t>Kevin Hou:</t>
        </r>
        <r>
          <rPr>
            <sz val="9"/>
            <color indexed="81"/>
            <rFont val="Tahoma"/>
            <charset val="1"/>
          </rPr>
          <t xml:space="preserve">
need to test if that impact CUG child</t>
        </r>
      </text>
    </comment>
    <comment ref="F61" authorId="0" shapeId="0">
      <text>
        <r>
          <rPr>
            <b/>
            <sz val="9"/>
            <color indexed="81"/>
            <rFont val="Tahoma"/>
            <family val="2"/>
          </rPr>
          <t>Kevin Hou:</t>
        </r>
        <r>
          <rPr>
            <sz val="9"/>
            <color indexed="81"/>
            <rFont val="Tahoma"/>
            <family val="2"/>
          </rPr>
          <t xml:space="preserve">
go to each property manually and click activate on the rate plan.</t>
        </r>
      </text>
    </comment>
    <comment ref="A62" authorId="0" shapeId="0">
      <text>
        <r>
          <rPr>
            <b/>
            <sz val="9"/>
            <color indexed="81"/>
            <rFont val="Tahoma"/>
            <family val="2"/>
          </rPr>
          <t>Kevin Hou:</t>
        </r>
        <r>
          <rPr>
            <sz val="9"/>
            <color indexed="81"/>
            <rFont val="Tahoma"/>
            <family val="2"/>
          </rPr>
          <t xml:space="preserve">
More commonly used feature, could cause parity issue</t>
        </r>
      </text>
    </comment>
    <comment ref="B62" authorId="0" shapeId="0">
      <text>
        <r>
          <rPr>
            <b/>
            <sz val="9"/>
            <color indexed="81"/>
            <rFont val="Tahoma"/>
            <family val="2"/>
          </rPr>
          <t>Kevin Hou:</t>
        </r>
        <r>
          <rPr>
            <sz val="9"/>
            <color indexed="81"/>
            <rFont val="Tahoma"/>
            <family val="2"/>
          </rPr>
          <t xml:space="preserve">
9</t>
        </r>
      </text>
    </comment>
    <comment ref="F62" authorId="0" shapeId="0">
      <text>
        <r>
          <rPr>
            <b/>
            <sz val="9"/>
            <color indexed="81"/>
            <rFont val="Tahoma"/>
            <family val="2"/>
          </rPr>
          <t>Kevin Hou:</t>
        </r>
        <r>
          <rPr>
            <sz val="9"/>
            <color indexed="81"/>
            <rFont val="Tahoma"/>
            <family val="2"/>
          </rPr>
          <t xml:space="preserve">
Reactiviate the promo parent/child rate plan</t>
        </r>
      </text>
    </comment>
    <comment ref="B63" authorId="0" shapeId="0">
      <text>
        <r>
          <rPr>
            <b/>
            <sz val="9"/>
            <color indexed="81"/>
            <rFont val="Tahoma"/>
            <family val="2"/>
          </rPr>
          <t>Kevin Hou:</t>
        </r>
        <r>
          <rPr>
            <sz val="9"/>
            <color indexed="81"/>
            <rFont val="Tahoma"/>
            <family val="2"/>
          </rPr>
          <t xml:space="preserve">
10</t>
        </r>
      </text>
    </comment>
    <comment ref="D63" authorId="1" shapeId="0">
      <text>
        <r>
          <rPr>
            <b/>
            <sz val="9"/>
            <color indexed="81"/>
            <rFont val="Tahoma"/>
            <family val="2"/>
          </rPr>
          <t>Sam Abazly:</t>
        </r>
        <r>
          <rPr>
            <sz val="9"/>
            <color indexed="81"/>
            <rFont val="Tahoma"/>
            <family val="2"/>
          </rPr>
          <t xml:space="preserve">
Need details on what causes this/how widespread this is</t>
        </r>
      </text>
    </comment>
    <comment ref="B64" authorId="0" shapeId="0">
      <text>
        <r>
          <rPr>
            <b/>
            <sz val="9"/>
            <color indexed="81"/>
            <rFont val="Tahoma"/>
            <family val="2"/>
          </rPr>
          <t>Kevin Hou:</t>
        </r>
        <r>
          <rPr>
            <sz val="9"/>
            <color indexed="81"/>
            <rFont val="Tahoma"/>
            <family val="2"/>
          </rPr>
          <t xml:space="preserve">
11
</t>
        </r>
      </text>
    </comment>
    <comment ref="F64" authorId="0" shapeId="0">
      <text>
        <r>
          <rPr>
            <b/>
            <sz val="9"/>
            <color indexed="81"/>
            <rFont val="Tahoma"/>
            <family val="2"/>
          </rPr>
          <t>Kevin Hou:</t>
        </r>
        <r>
          <rPr>
            <sz val="9"/>
            <color indexed="81"/>
            <rFont val="Tahoma"/>
            <family val="2"/>
          </rPr>
          <t xml:space="preserve">
delete from prop -&gt; wait 3 days -&gt; assign from corp</t>
        </r>
      </text>
    </comment>
    <comment ref="A65" authorId="0" shapeId="0">
      <text>
        <r>
          <rPr>
            <b/>
            <sz val="9"/>
            <color indexed="81"/>
            <rFont val="Tahoma"/>
            <family val="2"/>
          </rPr>
          <t>Kevin Hou:</t>
        </r>
        <r>
          <rPr>
            <sz val="9"/>
            <color indexed="81"/>
            <rFont val="Tahoma"/>
            <family val="2"/>
          </rPr>
          <t xml:space="preserve">
Top 10
</t>
        </r>
      </text>
    </comment>
    <comment ref="B67" authorId="0" shapeId="0">
      <text>
        <r>
          <rPr>
            <b/>
            <sz val="9"/>
            <color indexed="81"/>
            <rFont val="Tahoma"/>
            <family val="2"/>
          </rPr>
          <t>Kevin Hou:</t>
        </r>
        <r>
          <rPr>
            <sz val="9"/>
            <color indexed="81"/>
            <rFont val="Tahoma"/>
            <family val="2"/>
          </rPr>
          <t xml:space="preserve">
Related to HOS-14978</t>
        </r>
      </text>
    </comment>
  </commentList>
</comments>
</file>

<file path=xl/sharedStrings.xml><?xml version="1.0" encoding="utf-8"?>
<sst xmlns="http://schemas.openxmlformats.org/spreadsheetml/2006/main" count="1401" uniqueCount="404">
  <si>
    <t>Problem</t>
  </si>
  <si>
    <t>HOS-9314</t>
  </si>
  <si>
    <t>cA</t>
  </si>
  <si>
    <t>RC</t>
  </si>
  <si>
    <t>HOS-8665</t>
  </si>
  <si>
    <t>Adaora Isichei</t>
  </si>
  <si>
    <t>Yes</t>
  </si>
  <si>
    <t>When a property changes a parent APR (SAPR1/SAPR2) the shopping category "Prepaid" can be wiped, preventing the rate plan from being sold</t>
  </si>
  <si>
    <t>Causes parity issues, root cause unknown</t>
  </si>
  <si>
    <t>HOS-10603</t>
  </si>
  <si>
    <t>Status</t>
  </si>
  <si>
    <t>Backlog</t>
  </si>
  <si>
    <t>HOS-9263</t>
  </si>
  <si>
    <t>Recaps?</t>
  </si>
  <si>
    <t>N</t>
  </si>
  <si>
    <t>Y</t>
  </si>
  <si>
    <t>HOS-575</t>
  </si>
  <si>
    <t>HOS-6130</t>
  </si>
  <si>
    <t>Kitti Tong</t>
  </si>
  <si>
    <t>Impact - Qualitative</t>
  </si>
  <si>
    <t>App</t>
  </si>
  <si>
    <t>Work around?</t>
  </si>
  <si>
    <t>HOS-8331</t>
  </si>
  <si>
    <t>APR plans deactivated at property level cannot be reactivated</t>
  </si>
  <si>
    <t>Elizabeth Duke</t>
  </si>
  <si>
    <t>HOS-9900</t>
  </si>
  <si>
    <t>HOS-7603</t>
  </si>
  <si>
    <t>HOS-7604</t>
  </si>
  <si>
    <t>Dan Davis</t>
  </si>
  <si>
    <t>HOS-9633</t>
  </si>
  <si>
    <t>International</t>
  </si>
  <si>
    <t>HOS-10525</t>
  </si>
  <si>
    <t>The Future Reservations report does not display IATA number info</t>
  </si>
  <si>
    <t>Cannot see IATA number for future reservations</t>
  </si>
  <si>
    <t>Abhijit Patel</t>
  </si>
  <si>
    <t>HOS-10302</t>
  </si>
  <si>
    <t>Becky Snediker</t>
  </si>
  <si>
    <t>HOS-10512</t>
  </si>
  <si>
    <t>Multiple Proeprties cannot make changes to LEXP Rate Bucket</t>
  </si>
  <si>
    <t>HOS-7973</t>
  </si>
  <si>
    <t>David Beers</t>
  </si>
  <si>
    <t>HOS-4766</t>
  </si>
  <si>
    <t>HOS-11129</t>
  </si>
  <si>
    <t>HOS-11256</t>
  </si>
  <si>
    <t>Bar Conversion failure on Step 8: Send final recap, gets an error</t>
  </si>
  <si>
    <t>Blocks conversions</t>
  </si>
  <si>
    <t>#</t>
  </si>
  <si>
    <t>ST Jira HOS#</t>
  </si>
  <si>
    <t>BO</t>
  </si>
  <si>
    <t>Initiative
Impacted</t>
  </si>
  <si>
    <t>Rate Parity</t>
  </si>
  <si>
    <t>Recaps</t>
  </si>
  <si>
    <t>Smart Rates</t>
  </si>
  <si>
    <t>Upscale</t>
  </si>
  <si>
    <t>Daily Ops</t>
  </si>
  <si>
    <t>Conversions</t>
  </si>
  <si>
    <t>HOS-11435</t>
  </si>
  <si>
    <t>Age (days)</t>
  </si>
  <si>
    <t>Incorrect Color on RC BAR Calendar for SmartRates Saved Rates</t>
  </si>
  <si>
    <t>Date Opened</t>
  </si>
  <si>
    <t>HOS-11258</t>
  </si>
  <si>
    <t>HOS-8755</t>
  </si>
  <si>
    <t>Can result in fines to Canadian properties for not having all items in French</t>
  </si>
  <si>
    <t>HOS-11381</t>
  </si>
  <si>
    <t>HOS-11610</t>
  </si>
  <si>
    <t>Activating mandatory rate plans requires added time</t>
  </si>
  <si>
    <t>HOS#</t>
  </si>
  <si>
    <t>HOS-9679</t>
  </si>
  <si>
    <t>HOS-11023</t>
  </si>
  <si>
    <t>HOS-11429</t>
  </si>
  <si>
    <t>HOS-11254</t>
  </si>
  <si>
    <t>HOS-8749</t>
  </si>
  <si>
    <t>HOS-10959</t>
  </si>
  <si>
    <t>Step 4 - RC - BAR Conversion Step 4 taking error "Property conversion to new Rates Center is in progress</t>
  </si>
  <si>
    <t>HOS-10922</t>
  </si>
  <si>
    <t>HOS-11774</t>
  </si>
  <si>
    <t>Cannot create new child rate plans until ready to use</t>
  </si>
  <si>
    <t>New child rate plans made at corporate will propagrate immediately upon creation</t>
  </si>
  <si>
    <t>Cosmetic, but causes property confusion as it contradicts training</t>
  </si>
  <si>
    <t>Issue printing house account receipts, unable to print house account folio</t>
  </si>
  <si>
    <t>Rob Allen</t>
  </si>
  <si>
    <t>Started with 8.1, intermittent, does not affect every printing</t>
  </si>
  <si>
    <t>HOS-11440</t>
  </si>
  <si>
    <t>HOS-11952</t>
  </si>
  <si>
    <t>Offline Emergency Reports Not Generating In House List for All Properties</t>
  </si>
  <si>
    <t>Offline Emergency Reports - Folios are Not Included</t>
  </si>
  <si>
    <t>Emergency reports are incomplete when generated</t>
  </si>
  <si>
    <t>HOS-2317</t>
  </si>
  <si>
    <t>Report - French/German: Express checkout Report displays in English locale instead of desired locale (DE14115)</t>
  </si>
  <si>
    <t>HOS-2281</t>
  </si>
  <si>
    <t>HOS-2428</t>
  </si>
  <si>
    <t>Release Planning</t>
  </si>
  <si>
    <t>Can result in fines to any primary non-English property</t>
  </si>
  <si>
    <t>HOS-1222</t>
  </si>
  <si>
    <t>HOS-1274</t>
  </si>
  <si>
    <t>Green items are currently being worked on by SkyTouch (in development or dev-complete and pending release planning)</t>
  </si>
  <si>
    <t>SkyTouch Defect List - Priority Items based on Choice awareness (not all defects listed)</t>
  </si>
  <si>
    <t>Submitted</t>
  </si>
  <si>
    <t>Yellow items may need to be re-prioritized as they are new with significant impact per BO (typically near bottom of list)</t>
  </si>
  <si>
    <t>HOS-12627</t>
  </si>
  <si>
    <t>Packages</t>
  </si>
  <si>
    <t>RC Rate Plan Recaps and Property Recaps do not recap the same days, and some days are missed on property recaps that rate plan recaps correctly send (possibly vice-versa as well)</t>
  </si>
  <si>
    <t>Requires even more recaps to get desired dates to recap</t>
  </si>
  <si>
    <t>HOS-12500</t>
  </si>
  <si>
    <t>Free Continental Breakfast Campaign in AU region not visible in cA, although it is in RC</t>
  </si>
  <si>
    <t>HOS-13110</t>
  </si>
  <si>
    <t>Unsure if this means cA will reject all bookings or just block walkins</t>
  </si>
  <si>
    <t>HOS-13227</t>
  </si>
  <si>
    <t>HOS-13237</t>
  </si>
  <si>
    <t>Logs showing which user changed what are recording the wrong username at times due to issues with session management</t>
  </si>
  <si>
    <t>At times, wholly different users from other properties appear to be making changes (but aren't)</t>
  </si>
  <si>
    <t>Eddie Jaidi</t>
  </si>
  <si>
    <t>HOS-2322</t>
  </si>
  <si>
    <t>RC 5.9</t>
  </si>
  <si>
    <t>cA 8.5</t>
  </si>
  <si>
    <t>HOS-13805</t>
  </si>
  <si>
    <t>RC Conversion Failure due to deadlock (this was found when ST and CHI monitored recent Extended Stay Conversions</t>
  </si>
  <si>
    <t>HOS-9199</t>
  </si>
  <si>
    <t>ST/cA - Manual CC Postings are not sending CustomerName to Shift4</t>
  </si>
  <si>
    <t>HOS-11599</t>
  </si>
  <si>
    <t>Shift4 discrepency - no charge on Shift4, payment posted in PM</t>
  </si>
  <si>
    <t>cA - Crosssite scripting flaw at /InputReservation.do</t>
  </si>
  <si>
    <t>In Dev</t>
  </si>
  <si>
    <t>Security Defect</t>
  </si>
  <si>
    <t>Scott Solomon</t>
  </si>
  <si>
    <t>HOS-14491</t>
  </si>
  <si>
    <t>Security</t>
  </si>
  <si>
    <t>When a property posts a credit card payment and enters the information manually the CustomerName is not being included in the information sent to Shift4. The payment is still processed and accepted, but when settling the batch, or searching Shift4, the information is missing. The Name field is a required field.</t>
  </si>
  <si>
    <t>Step 4 Failed on conversion, cause hotel to be down for reservation longer than necessary</t>
  </si>
  <si>
    <t>HOS-8837</t>
  </si>
  <si>
    <t>Issues with promo rates trying to add or extend date range on a promo code</t>
  </si>
  <si>
    <t>Blocks date changes to promos</t>
  </si>
  <si>
    <t>Anne Gregory</t>
  </si>
  <si>
    <t>HOS-14978</t>
  </si>
  <si>
    <t>When a property makes modifications to an Event the changes are not accurately being recorded in the change history tables of the database.</t>
  </si>
  <si>
    <t>causes confusion when trying to troubleshoot possible issues involving changes</t>
  </si>
  <si>
    <t>Case/SR</t>
  </si>
  <si>
    <t>HOS-10695</t>
  </si>
  <si>
    <t>HOS-15425</t>
  </si>
  <si>
    <t>HOS-10579</t>
  </si>
  <si>
    <t xml:space="preserve">From case 00036697: When the SmartRates API sends over an override request there are times that it takes an errorCode 13 message which reads: "Some error occurred during message". When this occurs the BAR Calendar in RC is displaying N/A for all Room Type Buckets. </t>
  </si>
  <si>
    <t>HOS-2395</t>
  </si>
  <si>
    <t>Choice not reimburse correct amount for SRD stay at a property</t>
  </si>
  <si>
    <t>SRD reimbursement amount is not being calculated correctly</t>
  </si>
  <si>
    <t>HOS-15890</t>
  </si>
  <si>
    <t>The monthly Cambria/Comfort Suites elite recognition file is missing member numbers</t>
  </si>
  <si>
    <t>Housekeeping Check-Off Report - Departing Guests with Clean Room Displays Stay Over</t>
  </si>
  <si>
    <t>HOS-14118</t>
  </si>
  <si>
    <t>Tax Invoice - Internal Error when Generating Tax Invoice Guest/Group/House Accounts Beginning with Payment Adjustment</t>
  </si>
  <si>
    <t>Under Review</t>
  </si>
  <si>
    <t>Closed</t>
  </si>
  <si>
    <t xml:space="preserve">potential legal requirement </t>
  </si>
  <si>
    <t>QA Rejected</t>
  </si>
  <si>
    <t>HOS-2038</t>
  </si>
  <si>
    <t>Both</t>
  </si>
  <si>
    <t>Rates Center Packages (cA) - End Date Displayed in cA Does Not Match with RC</t>
  </si>
  <si>
    <t>cA's end date fails to match up so it can be sold after the fact (as long as rates are present for those dates)</t>
  </si>
  <si>
    <t>Kevin Hou</t>
  </si>
  <si>
    <t>Unable to award points for the member without the member number</t>
  </si>
  <si>
    <t>Selected for Development</t>
  </si>
  <si>
    <t>HOS-12973</t>
  </si>
  <si>
    <t>HOS-8041</t>
  </si>
  <si>
    <t>Group Reservation with Non-Room Package cannot share charges with multiple guests</t>
  </si>
  <si>
    <t>Cannot use automatic charge sharing</t>
  </si>
  <si>
    <t>HOS-2445</t>
  </si>
  <si>
    <t>Email Group Folio from Invoice sends the folio with no postings. (DE8838)</t>
  </si>
  <si>
    <t>Cannot directly email folio for group</t>
  </si>
  <si>
    <t>HOS-657</t>
  </si>
  <si>
    <t>Group Folio - Internal Error when Viewing Credit Card Transaction Details</t>
  </si>
  <si>
    <t>Cannot view payment transaction details (specifically for viewing individual transaction details on an in-house group folio)</t>
  </si>
  <si>
    <t>HOS-1988</t>
  </si>
  <si>
    <t>Affects packages if a cA removes a room type from their property, impacts cA's ability to book for that package</t>
  </si>
  <si>
    <t>Unable to book room package in cA only after inactivating a room type</t>
  </si>
  <si>
    <t>HOS-1843</t>
  </si>
  <si>
    <t>Choice Prioritization Rank</t>
  </si>
  <si>
    <t>Work around</t>
  </si>
  <si>
    <t>Number of property</t>
  </si>
  <si>
    <t>Weight</t>
  </si>
  <si>
    <t>Value</t>
  </si>
  <si>
    <t>100+</t>
  </si>
  <si>
    <t>High</t>
  </si>
  <si>
    <t>Low</t>
  </si>
  <si>
    <t>Medium</t>
  </si>
  <si>
    <t>Total Prioritization Point</t>
  </si>
  <si>
    <t>GRR Impact</t>
  </si>
  <si>
    <t>Upscale Impact</t>
  </si>
  <si>
    <t>Guest Satisfaction Impact</t>
  </si>
  <si>
    <t>Prioritization Levels</t>
  </si>
  <si>
    <t>Very Low</t>
  </si>
  <si>
    <t>Score</t>
  </si>
  <si>
    <t>Total</t>
  </si>
  <si>
    <t>Critical</t>
  </si>
  <si>
    <t>CHI Rank</t>
  </si>
  <si>
    <t>HOS-12665</t>
  </si>
  <si>
    <t>Number of properties</t>
  </si>
  <si>
    <t>N/A</t>
  </si>
  <si>
    <t>Program Dependency</t>
  </si>
  <si>
    <t>Less than 10</t>
  </si>
  <si>
    <t>Repeating Problem</t>
  </si>
  <si>
    <t>BAR calendar shows rate as N/A after the SmartRate override. Repeating time is unknow,this is a HIGH priority for CHOC</t>
  </si>
  <si>
    <t>Total Points</t>
  </si>
  <si>
    <t>No</t>
  </si>
  <si>
    <t>AgePre2016</t>
  </si>
  <si>
    <t>AgeJan2016</t>
  </si>
  <si>
    <t>AgeFeb2016</t>
  </si>
  <si>
    <t>AgeMar2016</t>
  </si>
  <si>
    <t>AgeApr2016</t>
  </si>
  <si>
    <t>AgeMay2016</t>
  </si>
  <si>
    <t>AgeJun2016</t>
  </si>
  <si>
    <t>AgeJuly2016</t>
  </si>
  <si>
    <t>AgeAug2016</t>
  </si>
  <si>
    <t>AgeSept2016</t>
  </si>
  <si>
    <t>AgeOct2016</t>
  </si>
  <si>
    <t>AgeNov2016</t>
  </si>
  <si>
    <t>AgeDec2016</t>
  </si>
  <si>
    <t>10-100</t>
  </si>
  <si>
    <t xml:space="preserve">Currently being worked on by SkyTouch </t>
  </si>
  <si>
    <t>Age</t>
  </si>
  <si>
    <t>Total Defects for YTD</t>
  </si>
  <si>
    <t>Closed?</t>
  </si>
  <si>
    <t>Open</t>
  </si>
  <si>
    <t>Pre 2016</t>
  </si>
  <si>
    <t>Delivered</t>
  </si>
  <si>
    <t>Closed Defect</t>
  </si>
  <si>
    <t>Delivered/Closed Date</t>
  </si>
  <si>
    <t>Total Open Defects</t>
  </si>
  <si>
    <t>Total Open Defects YTD</t>
  </si>
  <si>
    <t>Delivered in</t>
  </si>
  <si>
    <t>RC 5.7.3</t>
  </si>
  <si>
    <t>cA 8.2.0.14</t>
  </si>
  <si>
    <t>cA 8.2</t>
  </si>
  <si>
    <t>CH.COM fix on Oct.11</t>
  </si>
  <si>
    <t>CR20666 and CR20867</t>
  </si>
  <si>
    <t>New Defect Opened (with known open date)</t>
  </si>
  <si>
    <t>Promotion child rateplans getting inactivated when activating parent rateplan due to retail promo code being inactive</t>
  </si>
  <si>
    <t>Color Code(To be Hide)</t>
  </si>
  <si>
    <t>Color Code</t>
  </si>
  <si>
    <t>Green</t>
  </si>
  <si>
    <t>Orange</t>
  </si>
  <si>
    <t>Yellow</t>
  </si>
  <si>
    <t>Could cause parity issues (Adoara)</t>
  </si>
  <si>
    <t>N/A, CIS needs to fix the data being fed into cA</t>
  </si>
  <si>
    <t>N/A, ST could not replicate as of June 2016 at least, and Edge did not have time to validate nor reported it as an ongoing issue</t>
  </si>
  <si>
    <t>HOS-16405</t>
  </si>
  <si>
    <t>Guest Search within a reservation returns "guestProfileLookup_Form was not found" when toggling between "Search Guest By":" option</t>
  </si>
  <si>
    <t>Unable to search CP members by name or phone number</t>
  </si>
  <si>
    <t>Choice Privilege</t>
  </si>
  <si>
    <t>Total Precentage%</t>
  </si>
  <si>
    <t>Defect Prioritization Weekly Status Update</t>
  </si>
  <si>
    <t>Hotel Technology</t>
  </si>
  <si>
    <t>Defects without known Date</t>
  </si>
  <si>
    <t>cA Specific</t>
  </si>
  <si>
    <t>Rate Center Specific</t>
  </si>
  <si>
    <t>Defects assigned to upcoming releases</t>
  </si>
  <si>
    <t>Business Unit</t>
  </si>
  <si>
    <t>Revenue Management</t>
  </si>
  <si>
    <t>Other</t>
  </si>
  <si>
    <t>Impacting Business Unit</t>
  </si>
  <si>
    <t xml:space="preserve">International </t>
  </si>
  <si>
    <t>Orange items are about to go into a release</t>
  </si>
  <si>
    <t>Prioritized Open Defects</t>
  </si>
  <si>
    <t>Total Prioritized Defects</t>
  </si>
  <si>
    <t>Delivered Prioritized Defects YTD</t>
  </si>
  <si>
    <t>Prioritized Defect Age</t>
  </si>
  <si>
    <t>In flight Fixes</t>
  </si>
  <si>
    <t>Prioritized Open Defect Impacting Business Unit</t>
  </si>
  <si>
    <t>Prioritized Defect Breakdown</t>
  </si>
  <si>
    <t>Defects yet to be Prioritized</t>
  </si>
  <si>
    <t>Average Age of Open Defects (Days)</t>
  </si>
  <si>
    <t>Average Age of Delivered Defects (Days)</t>
  </si>
  <si>
    <t>HOS-16469</t>
  </si>
  <si>
    <t>Remove the property from the RC database, preventing property from conversion</t>
  </si>
  <si>
    <t>BAR Conversion failing during Step 1 for properties under Belgium and Poland, rate plans in Corporate RC are not configured with “Channels” at the country level for Belgium</t>
  </si>
  <si>
    <t>Number of property this defect could potentially impact</t>
  </si>
  <si>
    <t>Does the defect has a workaround ?</t>
  </si>
  <si>
    <t>Estimated impact towards the Gross Room Revenue (GRR)</t>
  </si>
  <si>
    <t>Does the defect impact domastic upscale property?</t>
  </si>
  <si>
    <t>Estimated impact towards the guest satisfaction (guest-facing function)</t>
  </si>
  <si>
    <t>Details</t>
  </si>
  <si>
    <t>Attributes</t>
  </si>
  <si>
    <t>Blacklog</t>
  </si>
  <si>
    <t>Was the defect fixed before and came back again?</t>
  </si>
  <si>
    <t>Defect is being worked on by development team (from grooming to coding)</t>
  </si>
  <si>
    <t>Coding is complete and within a release version, but it is still pending QA certification</t>
  </si>
  <si>
    <t>Defect has been recognized by SkyTouch, but has not been picked up by development</t>
  </si>
  <si>
    <t xml:space="preserve">Same as "Backlog", this is newly created defect that needs to be verified by QA </t>
  </si>
  <si>
    <t>Weighting Factors</t>
  </si>
  <si>
    <t xml:space="preserve">QA cannot recreate the defect or needing more information from Production Support team in SkyTouch </t>
  </si>
  <si>
    <t>Very early stage in the development phase, defect will soon be worked on by development team</t>
  </si>
  <si>
    <t>Defect is being reviewed due to not been enough information provided when it was initially sent to development</t>
  </si>
  <si>
    <t>Defect the prevents function of other program (e.g SmartRate)</t>
  </si>
  <si>
    <t>RC 5.10</t>
  </si>
  <si>
    <t>Defects Opened 120 Days Or Longer</t>
  </si>
  <si>
    <t>Average Age of Open Defects</t>
  </si>
  <si>
    <t>HOS-16518</t>
  </si>
  <si>
    <t>Prevent locally-created groups from being marked ‘Sell in CRS’ from receiving their booking URLs, this is the main thing holding us back from letting other properties use this feature</t>
  </si>
  <si>
    <t>Group</t>
  </si>
  <si>
    <t>No central pickup URL displayed in UI when checking "Sell in CRS" for local created group</t>
  </si>
  <si>
    <t>Day Use Room can be assigned to same room number as a guest already booked in that room for 2 nights</t>
  </si>
  <si>
    <t>Create confusion around room status, sometime the housekeeper goes into that room but the room is actually occupied</t>
  </si>
  <si>
    <t>Last check-in I have a note that you were getting details on this, but you were able to confirm that this defect does not actually let you check someone into the room despite it not displaying the occupancy correctly. </t>
  </si>
  <si>
    <t>For International Properties - Print options - Folio reports are not translating as per the guest preferred language. Defaulting to the property langauge seting.</t>
  </si>
  <si>
    <t>Guest Folio - Taxes Displaying in English where French Language Preference Selected, pre-condition: trans code modifiction flag and enabled, tax description has been modified</t>
  </si>
  <si>
    <t>On-Hold</t>
  </si>
  <si>
    <t>cA 8.7</t>
  </si>
  <si>
    <t>RC 5.11</t>
  </si>
  <si>
    <t>HOS-1398</t>
  </si>
  <si>
    <t>House Folio Print out is not in the same order as how it shows in House Folio view</t>
  </si>
  <si>
    <t>HOS-14677</t>
  </si>
  <si>
    <t>if a user selects Business Address as Primary, no address displays on customer facing forms (tax invoice, credit notes, folio, etc.)</t>
  </si>
  <si>
    <t>HOS-8154</t>
  </si>
  <si>
    <t xml:space="preserve">Anthony Stanley </t>
  </si>
  <si>
    <t>HOS-15547</t>
  </si>
  <si>
    <t>HOS-16790</t>
  </si>
  <si>
    <t>PAYMENT OBJECT NULL</t>
  </si>
  <si>
    <t>Inactiviating the child promo rate plan prevents sales from the OTA for promotion plan</t>
  </si>
  <si>
    <t>Sam Abazly</t>
  </si>
  <si>
    <t>Cannot be reproduced, SkyTouch Confirmed that the title is translated</t>
  </si>
  <si>
    <t>HOS-17019</t>
  </si>
  <si>
    <t>Connection reset when printing All Night Audit Reports</t>
  </si>
  <si>
    <t>Running Night audit report requires more time (problemed report needs to be ran seperately)</t>
  </si>
  <si>
    <t xml:space="preserve">HOS-8744 </t>
  </si>
  <si>
    <t>Cannot Select Multiple Postings and Move to Another Folio View</t>
  </si>
  <si>
    <t>The issue is on a Guest Folio, the user is unable to select multiple postings so they can be moved to another folio view.</t>
  </si>
  <si>
    <t xml:space="preserve">HOS-5835 </t>
  </si>
  <si>
    <t>Credit Card Bin Range does not match actual card type</t>
  </si>
  <si>
    <t>Working as designed, user can update the information in the extended guest data section</t>
  </si>
  <si>
    <t>SkyTouch verified it was working, could not reproducce it, since package feature was not rolled out to properties, no report from property</t>
  </si>
  <si>
    <t>Guest would have to change another card or method of payment</t>
  </si>
  <si>
    <t>HOS-17252</t>
  </si>
  <si>
    <t>Allow Event Rates By Day not sending rate type in UpdateRate message</t>
  </si>
  <si>
    <t>cA 8.8</t>
  </si>
  <si>
    <t>HOS-17317</t>
  </si>
  <si>
    <t>When a group is changed from tentative to definite, a CREATE message is sent to CRS. While on the same screen, you modify the group (change the arrival of the group).. a MODIFICATION message is not sent to the CRS</t>
  </si>
  <si>
    <t>Change of the arraival date for group fail to be updated in CRS</t>
  </si>
  <si>
    <t xml:space="preserve">This causes the downstream systems to fail the message and not update their rates. </t>
  </si>
  <si>
    <t>HOS-17287</t>
  </si>
  <si>
    <t>Package reservation PTKTSL does not show up on the reservation activity report</t>
  </si>
  <si>
    <t>cannot prepare the package amentity for guest arraival</t>
  </si>
  <si>
    <t>HOS-10697</t>
  </si>
  <si>
    <t>Promo child rates are showing active when the parent rate is not active.</t>
  </si>
  <si>
    <t>Promotion</t>
  </si>
  <si>
    <t>Kelly Money</t>
  </si>
  <si>
    <t xml:space="preserve">HOS-15934 </t>
  </si>
  <si>
    <t>packages getting assigned as travel agent commissionable when there is no UI to remove the flag</t>
  </si>
  <si>
    <t>Travel agent receive commision when the rate plan should be non-commisionable</t>
  </si>
  <si>
    <t>HOS-17271</t>
  </si>
  <si>
    <t>Packages with Single Line Item Per Night printing multiple lines instead of just one</t>
  </si>
  <si>
    <t>when a property creates a package and configures the charges to be bundled into a single line item per night, the resulting printout is displaying multiple lines for the charges instead of just a single line</t>
  </si>
  <si>
    <t>Program/Function Dependency</t>
  </si>
  <si>
    <t>HOS-17331</t>
  </si>
  <si>
    <t>HOS-17330</t>
  </si>
  <si>
    <t>APR Child Rate Plans not calculating correct rate when rate bucket transfer set up</t>
  </si>
  <si>
    <t>When a rate bucket transfer is added to a parent APR rate plan the relevant child APR rate plans are not updating with the correct rate, causing rate parity.</t>
  </si>
  <si>
    <t xml:space="preserve">Direct Bill Account overriding the Company Profile displayed on the Folio </t>
  </si>
  <si>
    <t xml:space="preserve">For, guests check in with the with Company Profile A but needs to be billed to Direct Bill Account B, the guest folio generated during check out does not correctly reflect guest stay information. </t>
  </si>
  <si>
    <t>AgeJan2017</t>
  </si>
  <si>
    <t>AgeFeb2017</t>
  </si>
  <si>
    <t>RC 5.13</t>
  </si>
  <si>
    <t>if a user selects Business Address as Primary, no business name displays on customer facing forms (tax invoice, credit notes, folio, etc.)</t>
  </si>
  <si>
    <t>HOS-17638</t>
  </si>
  <si>
    <t>HOS-16098</t>
  </si>
  <si>
    <t>Credit Card Types Incorrectly Getting Assigned to Credit Cards</t>
  </si>
  <si>
    <t>$ sign is being printed instead of the correct currency sign and the word VAT is being replaced with GST</t>
  </si>
  <si>
    <t>May result fine for international proeprties</t>
  </si>
  <si>
    <t xml:space="preserve">HOS-17061 </t>
  </si>
  <si>
    <t>HOS-14662</t>
  </si>
  <si>
    <t>Related to HOS-17252</t>
  </si>
  <si>
    <t>Activiting APR requires added time</t>
  </si>
  <si>
    <t>HOS-17692</t>
  </si>
  <si>
    <t>If a property has an event scheduled on the BAR Calendar and they accept a SMART Rates override for a day that covers the event, the Event label is no longer displayed. (This is a cosmetic issue only)</t>
  </si>
  <si>
    <t>Create confusion for users and they assume the event is gone in RC</t>
  </si>
  <si>
    <t>Tracked as enhancement HOS-14612</t>
  </si>
  <si>
    <t>HOS-2513</t>
  </si>
  <si>
    <t>Report</t>
  </si>
  <si>
    <t>HOS-2518</t>
  </si>
  <si>
    <t>HOS-2232</t>
  </si>
  <si>
    <t>HOS-11362</t>
  </si>
  <si>
    <t>Calendar in Rates Center under French Locale displays as Monday-Sunday (cusmetic)</t>
  </si>
  <si>
    <t>Local Selling Limit Bucket Data is Not Displayed on Rate Configuration Report</t>
  </si>
  <si>
    <t xml:space="preserve">Property changes not reflected on Change History Report </t>
  </si>
  <si>
    <t>HOS-11346</t>
  </si>
  <si>
    <t>HOS-17778</t>
  </si>
  <si>
    <t>HOS-17986</t>
  </si>
  <si>
    <t>Rate Plan MLOS locked at corporate able to be managed through range edit</t>
  </si>
  <si>
    <t>properties are able to set a Rate Plan Min. LOS for SAPR1A and SAPR1B. Min LOS should not be possible for SAPR1 or SAPR2</t>
  </si>
  <si>
    <t xml:space="preserve">HOS-18046 </t>
  </si>
  <si>
    <t>User from cA are still able to book package that are set restraction for Max booking date from RC</t>
  </si>
  <si>
    <t>HOS-17769</t>
  </si>
  <si>
    <t>HOS-17694</t>
  </si>
  <si>
    <t>HOS-17693</t>
  </si>
  <si>
    <t>HOS-17707</t>
  </si>
  <si>
    <t>HOS-17770</t>
  </si>
  <si>
    <t>Related to  HOS-16519</t>
  </si>
  <si>
    <t>Related to  HOS-16521</t>
  </si>
  <si>
    <t>Related to  HOS-16522</t>
  </si>
  <si>
    <t>Epics Related to  HOS-16520</t>
  </si>
  <si>
    <t>defact Related to  HOS-16518</t>
  </si>
  <si>
    <t>RC supports max preDOA, but cA does not support that functionality</t>
  </si>
  <si>
    <t xml:space="preserve">SCPM rate plan, and other elective rate plans from the coporate shows the inactive when propagated to properties. </t>
  </si>
  <si>
    <t>HOS-1432</t>
  </si>
  <si>
    <t>Reg Card is Not Displaying Guest Phone Number (AU)</t>
  </si>
  <si>
    <t>HOS-18066</t>
  </si>
  <si>
    <t>Children plans for SAPR 1and 2 and SMRC and SMRC2 do not load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</si>
</sst>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yy;@"/>
  </numFmts>
  <fonts count="34" x14ac:knownFonts="1">
    <font>
      <sz val="11"/>
      <color theme="1"/>
      <name val="Calibri"/>
      <family val="2"/>
      <scheme val="minor"/>
    </font>
    <font>
      <sz val="9"/>
      <color indexed="81"/>
      <name val="Tahoma"/>
      <family val="2"/>
    </font>
    <font>
      <b/>
      <sz val="9"/>
      <color indexed="81"/>
      <name val="Tahoma"/>
      <family val="2"/>
    </font>
    <font>
      <sz val="12"/>
      <color theme="1"/>
      <name val="Calibri"/>
      <family val="2"/>
      <scheme val="minor"/>
    </font>
    <font>
      <b/>
      <sz val="14"/>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1"/>
      <color theme="1"/>
      <name val="Calibri"/>
      <family val="2"/>
      <scheme val="minor"/>
    </font>
    <font>
      <sz val="12"/>
      <color theme="1"/>
      <name val="Calibri"/>
      <family val="2"/>
      <scheme val="minor"/>
    </font>
    <font>
      <b/>
      <sz val="11"/>
      <color rgb="FFFA7D00"/>
      <name val="Calibri"/>
      <family val="2"/>
      <scheme val="minor"/>
    </font>
    <font>
      <sz val="11"/>
      <color rgb="FFFF0000"/>
      <name val="Calibri"/>
      <family val="2"/>
      <scheme val="minor"/>
    </font>
    <font>
      <sz val="11"/>
      <name val="Calibri"/>
      <family val="2"/>
      <scheme val="minor"/>
    </font>
    <font>
      <sz val="11"/>
      <color theme="0"/>
      <name val="Calibri"/>
      <family val="2"/>
      <scheme val="minor"/>
    </font>
    <font>
      <sz val="12"/>
      <color rgb="FFFF0000"/>
      <name val="Calibri"/>
      <family val="2"/>
      <scheme val="minor"/>
    </font>
    <font>
      <sz val="11"/>
      <color theme="1"/>
      <name val="Calibri"/>
      <family val="2"/>
      <scheme val="minor"/>
    </font>
    <font>
      <b/>
      <sz val="11"/>
      <color theme="0"/>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9"/>
      <color indexed="81"/>
      <name val="Tahoma"/>
      <charset val="1"/>
    </font>
    <font>
      <b/>
      <sz val="9"/>
      <color indexed="81"/>
      <name val="Tahoma"/>
      <charset val="1"/>
    </font>
    <font>
      <sz val="12"/>
      <color theme="1"/>
      <name val="Calibri"/>
      <scheme val="minor"/>
    </font>
  </fonts>
  <fills count="14">
    <fill>
      <patternFill patternType="none"/>
    </fill>
    <fill>
      <patternFill patternType="gray125"/>
    </fill>
    <fill>
      <patternFill patternType="solid">
        <fgColor rgb="FFFFFF00"/>
        <bgColor indexed="64"/>
      </patternFill>
    </fill>
    <fill>
      <patternFill patternType="solid">
        <fgColor theme="9"/>
        <bgColor indexed="64"/>
      </patternFill>
    </fill>
    <fill>
      <patternFill patternType="solid">
        <fgColor theme="7"/>
        <bgColor indexed="64"/>
      </patternFill>
    </fill>
    <fill>
      <patternFill patternType="solid">
        <fgColor rgb="FFFF0000"/>
        <bgColor indexed="64"/>
      </patternFill>
    </fill>
    <fill>
      <patternFill patternType="solid">
        <fgColor theme="2"/>
        <bgColor indexed="64"/>
      </patternFill>
    </fill>
    <fill>
      <patternFill patternType="solid">
        <fgColor rgb="FFF2F2F2"/>
      </patternFill>
    </fill>
    <fill>
      <patternFill patternType="solid">
        <fgColor theme="5"/>
        <bgColor indexed="64"/>
      </patternFill>
    </fill>
    <fill>
      <patternFill patternType="solid">
        <fgColor theme="5" tint="0.79998168889431442"/>
        <bgColor indexed="65"/>
      </patternFill>
    </fill>
    <fill>
      <patternFill patternType="solid">
        <fgColor theme="5" tint="0.39997558519241921"/>
        <bgColor indexed="65"/>
      </patternFill>
    </fill>
    <fill>
      <patternFill patternType="solid">
        <fgColor rgb="FFFFC000"/>
        <bgColor indexed="64"/>
      </patternFill>
    </fill>
    <fill>
      <patternFill patternType="solid">
        <fgColor theme="4" tint="0.79998168889431442"/>
        <bgColor theme="4" tint="0.79998168889431442"/>
      </patternFill>
    </fill>
    <fill>
      <patternFill patternType="solid">
        <fgColor theme="4"/>
        <bgColor theme="4"/>
      </patternFill>
    </fill>
  </fills>
  <borders count="37">
    <border>
      <left/>
      <right/>
      <top/>
      <bottom/>
      <diagonal/>
    </border>
    <border>
      <left/>
      <right/>
      <top style="thin">
        <color theme="4" tint="0.39997558519241921"/>
      </top>
      <bottom style="thin">
        <color theme="4" tint="0.39997558519241921"/>
      </bottom>
      <diagonal/>
    </border>
    <border>
      <left style="thin">
        <color rgb="FF7F7F7F"/>
      </left>
      <right style="thin">
        <color rgb="FF7F7F7F"/>
      </right>
      <top style="thin">
        <color rgb="FF7F7F7F"/>
      </top>
      <bottom style="thin">
        <color rgb="FF7F7F7F"/>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auto="1"/>
      </left>
      <right/>
      <top/>
      <bottom style="double">
        <color indexed="64"/>
      </bottom>
      <diagonal/>
    </border>
    <border>
      <left style="thin">
        <color indexed="64"/>
      </left>
      <right style="thin">
        <color indexed="64"/>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auto="1"/>
      </right>
      <top/>
      <bottom style="double">
        <color indexed="64"/>
      </bottom>
      <diagonal/>
    </border>
    <border>
      <left style="medium">
        <color indexed="64"/>
      </left>
      <right style="thin">
        <color rgb="FF7F7F7F"/>
      </right>
      <top style="medium">
        <color indexed="64"/>
      </top>
      <bottom/>
      <diagonal/>
    </border>
    <border>
      <left style="thin">
        <color rgb="FF7F7F7F"/>
      </left>
      <right style="medium">
        <color indexed="64"/>
      </right>
      <top style="medium">
        <color indexed="64"/>
      </top>
      <bottom/>
      <diagonal/>
    </border>
    <border>
      <left style="medium">
        <color indexed="64"/>
      </left>
      <right style="thin">
        <color rgb="FF7F7F7F"/>
      </right>
      <top style="thin">
        <color rgb="FF7F7F7F"/>
      </top>
      <bottom style="thin">
        <color rgb="FF7F7F7F"/>
      </bottom>
      <diagonal/>
    </border>
    <border>
      <left style="thin">
        <color rgb="FF7F7F7F"/>
      </left>
      <right style="medium">
        <color indexed="64"/>
      </right>
      <top style="thin">
        <color rgb="FF7F7F7F"/>
      </top>
      <bottom style="thin">
        <color rgb="FF7F7F7F"/>
      </bottom>
      <diagonal/>
    </border>
    <border>
      <left style="medium">
        <color indexed="64"/>
      </left>
      <right style="thin">
        <color rgb="FF7F7F7F"/>
      </right>
      <top style="thin">
        <color rgb="FF7F7F7F"/>
      </top>
      <bottom style="medium">
        <color indexed="64"/>
      </bottom>
      <diagonal/>
    </border>
    <border>
      <left style="thin">
        <color rgb="FF7F7F7F"/>
      </left>
      <right style="medium">
        <color indexed="64"/>
      </right>
      <top style="thin">
        <color rgb="FF7F7F7F"/>
      </top>
      <bottom style="medium">
        <color indexed="64"/>
      </bottom>
      <diagonal/>
    </border>
    <border>
      <left style="medium">
        <color indexed="64"/>
      </left>
      <right style="thin">
        <color rgb="FF7F7F7F"/>
      </right>
      <top/>
      <bottom style="thin">
        <color rgb="FF7F7F7F"/>
      </bottom>
      <diagonal/>
    </border>
    <border>
      <left style="thin">
        <color rgb="FF7F7F7F"/>
      </left>
      <right style="medium">
        <color indexed="64"/>
      </right>
      <top/>
      <bottom style="thin">
        <color rgb="FF7F7F7F"/>
      </bottom>
      <diagonal/>
    </border>
    <border>
      <left style="medium">
        <color indexed="64"/>
      </left>
      <right style="thin">
        <color rgb="FF7F7F7F"/>
      </right>
      <top style="medium">
        <color indexed="64"/>
      </top>
      <bottom style="medium">
        <color indexed="64"/>
      </bottom>
      <diagonal/>
    </border>
    <border>
      <left style="thin">
        <color rgb="FF7F7F7F"/>
      </left>
      <right style="medium">
        <color indexed="64"/>
      </right>
      <top style="medium">
        <color indexed="64"/>
      </top>
      <bottom style="medium">
        <color indexed="64"/>
      </bottom>
      <diagonal/>
    </border>
    <border>
      <left style="medium">
        <color indexed="64"/>
      </left>
      <right style="thin">
        <color rgb="FF7F7F7F"/>
      </right>
      <top style="thin">
        <color rgb="FF7F7F7F"/>
      </top>
      <bottom/>
      <diagonal/>
    </border>
    <border>
      <left style="thin">
        <color rgb="FF7F7F7F"/>
      </left>
      <right style="medium">
        <color indexed="64"/>
      </right>
      <top style="thin">
        <color rgb="FF7F7F7F"/>
      </top>
      <bottom/>
      <diagonal/>
    </border>
    <border>
      <left style="thin">
        <color theme="4" tint="0.39997558519241921"/>
      </left>
      <right/>
      <top style="thin">
        <color theme="4" tint="0.39997558519241921"/>
      </top>
      <bottom style="thin">
        <color theme="4" tint="0.39997558519241921"/>
      </bottom>
      <diagonal/>
    </border>
  </borders>
  <cellStyleXfs count="4">
    <xf numFmtId="0" fontId="0" fillId="0" borderId="0"/>
    <xf numFmtId="0" fontId="15" fillId="7" borderId="2" applyNumberFormat="0" applyAlignment="0" applyProtection="0"/>
    <xf numFmtId="0" fontId="20" fillId="9" borderId="0" applyNumberFormat="0" applyBorder="0" applyAlignment="0" applyProtection="0"/>
    <xf numFmtId="0" fontId="18" fillId="10" borderId="0" applyNumberFormat="0" applyBorder="0" applyAlignment="0" applyProtection="0"/>
  </cellStyleXfs>
  <cellXfs count="204">
    <xf numFmtId="0" fontId="0" fillId="0" borderId="0" xfId="0"/>
    <xf numFmtId="0" fontId="3" fillId="0" borderId="0" xfId="0" applyFont="1"/>
    <xf numFmtId="0" fontId="3" fillId="0" borderId="0" xfId="0" applyFont="1" applyAlignment="1">
      <alignment wrapText="1"/>
    </xf>
    <xf numFmtId="14" fontId="3" fillId="0" borderId="0" xfId="0" applyNumberFormat="1" applyFont="1" applyAlignment="1">
      <alignment horizontal="left"/>
    </xf>
    <xf numFmtId="0" fontId="5" fillId="0" borderId="0" xfId="0" applyFont="1" applyFill="1" applyAlignment="1">
      <alignment horizontal="left" vertical="top" wrapText="1"/>
    </xf>
    <xf numFmtId="0" fontId="3" fillId="0" borderId="0" xfId="0" applyFont="1" applyFill="1" applyAlignment="1">
      <alignment horizontal="left" vertical="top" wrapText="1"/>
    </xf>
    <xf numFmtId="1" fontId="3" fillId="0" borderId="0" xfId="0" applyNumberFormat="1" applyFont="1" applyFill="1" applyAlignment="1">
      <alignment horizontal="left" vertical="top" wrapText="1"/>
    </xf>
    <xf numFmtId="1" fontId="5" fillId="0" borderId="0" xfId="0" applyNumberFormat="1" applyFont="1" applyFill="1" applyAlignment="1">
      <alignment horizontal="left" vertical="top" wrapText="1"/>
    </xf>
    <xf numFmtId="0" fontId="0" fillId="0" borderId="0" xfId="0" applyAlignment="1"/>
    <xf numFmtId="0" fontId="7" fillId="0" borderId="0" xfId="0" applyFont="1" applyFill="1" applyAlignment="1">
      <alignment horizontal="left" vertical="top" wrapText="1"/>
    </xf>
    <xf numFmtId="1" fontId="7" fillId="0" borderId="0" xfId="0" applyNumberFormat="1" applyFont="1" applyFill="1" applyAlignment="1">
      <alignment horizontal="left" vertical="top" wrapText="1"/>
    </xf>
    <xf numFmtId="0" fontId="6" fillId="0" borderId="0" xfId="0" applyFont="1" applyFill="1" applyAlignment="1">
      <alignment horizontal="left" vertical="top" wrapText="1"/>
    </xf>
    <xf numFmtId="1" fontId="6" fillId="0" borderId="0" xfId="0" applyNumberFormat="1" applyFont="1" applyFill="1" applyAlignment="1">
      <alignment horizontal="left" vertical="top" wrapText="1"/>
    </xf>
    <xf numFmtId="0" fontId="3" fillId="3" borderId="0" xfId="0" applyFont="1" applyFill="1" applyAlignment="1">
      <alignment horizontal="left" vertical="top" wrapText="1"/>
    </xf>
    <xf numFmtId="0" fontId="3" fillId="0" borderId="0" xfId="0" applyFont="1" applyFill="1"/>
    <xf numFmtId="14" fontId="0" fillId="0" borderId="0" xfId="0" applyNumberFormat="1" applyAlignment="1"/>
    <xf numFmtId="14" fontId="3" fillId="0" borderId="0" xfId="0" applyNumberFormat="1" applyFont="1" applyFill="1" applyAlignment="1">
      <alignment horizontal="left"/>
    </xf>
    <xf numFmtId="0" fontId="3" fillId="4" borderId="0" xfId="0" applyFont="1" applyFill="1" applyAlignment="1">
      <alignment horizontal="left" vertical="top" wrapText="1"/>
    </xf>
    <xf numFmtId="0" fontId="7" fillId="4" borderId="0" xfId="0" applyFont="1" applyFill="1" applyAlignment="1">
      <alignment horizontal="left" vertical="top" wrapText="1"/>
    </xf>
    <xf numFmtId="0" fontId="8" fillId="0" borderId="0" xfId="0" applyFont="1" applyFill="1" applyAlignment="1">
      <alignment horizontal="left" vertical="top" wrapText="1"/>
    </xf>
    <xf numFmtId="1" fontId="8" fillId="0" borderId="0" xfId="0" applyNumberFormat="1" applyFont="1" applyFill="1" applyAlignment="1">
      <alignment horizontal="left" vertical="top" wrapText="1"/>
    </xf>
    <xf numFmtId="0" fontId="9" fillId="0" borderId="0" xfId="0" applyFont="1" applyFill="1" applyAlignment="1">
      <alignment horizontal="left" vertical="top" wrapText="1"/>
    </xf>
    <xf numFmtId="1" fontId="9" fillId="0" borderId="0" xfId="0" applyNumberFormat="1" applyFont="1" applyFill="1" applyAlignment="1">
      <alignment horizontal="left" vertical="top" wrapText="1"/>
    </xf>
    <xf numFmtId="1" fontId="0" fillId="0" borderId="0" xfId="0" applyNumberFormat="1" applyAlignment="1"/>
    <xf numFmtId="0" fontId="10" fillId="0" borderId="0" xfId="0" applyFont="1" applyFill="1" applyAlignment="1">
      <alignment horizontal="left" vertical="top" wrapText="1"/>
    </xf>
    <xf numFmtId="1" fontId="10" fillId="0" borderId="0" xfId="0" applyNumberFormat="1" applyFont="1" applyFill="1" applyAlignment="1">
      <alignment horizontal="left" vertical="top" wrapText="1"/>
    </xf>
    <xf numFmtId="0" fontId="7" fillId="3" borderId="0" xfId="0" applyFont="1" applyFill="1" applyAlignment="1">
      <alignment horizontal="left" vertical="top" wrapText="1"/>
    </xf>
    <xf numFmtId="1" fontId="10" fillId="0" borderId="0" xfId="0" applyNumberFormat="1" applyFont="1" applyFill="1" applyBorder="1" applyAlignment="1">
      <alignment horizontal="left" vertical="top" wrapText="1"/>
    </xf>
    <xf numFmtId="0" fontId="10" fillId="0" borderId="0" xfId="0" applyFont="1" applyFill="1" applyBorder="1" applyAlignment="1">
      <alignment horizontal="left" vertical="top" wrapText="1"/>
    </xf>
    <xf numFmtId="0" fontId="3" fillId="2" borderId="0" xfId="0" applyFont="1" applyFill="1" applyAlignment="1">
      <alignment horizontal="left" vertical="top" wrapText="1"/>
    </xf>
    <xf numFmtId="0" fontId="11" fillId="0" borderId="0" xfId="0" applyFont="1" applyFill="1" applyAlignment="1">
      <alignment horizontal="left" vertical="top" wrapText="1"/>
    </xf>
    <xf numFmtId="0" fontId="8"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7" fillId="0" borderId="0" xfId="0" applyFont="1" applyFill="1" applyBorder="1" applyAlignment="1">
      <alignment horizontal="left" vertical="top" wrapText="1"/>
    </xf>
    <xf numFmtId="0" fontId="9" fillId="0" borderId="0" xfId="0" applyFont="1" applyFill="1" applyBorder="1" applyAlignment="1">
      <alignment horizontal="left" vertical="top" wrapText="1"/>
    </xf>
    <xf numFmtId="0" fontId="3" fillId="3" borderId="0" xfId="0" applyFont="1" applyFill="1" applyBorder="1" applyAlignment="1">
      <alignment horizontal="left" vertical="top" wrapText="1"/>
    </xf>
    <xf numFmtId="0" fontId="11" fillId="3" borderId="0" xfId="0" applyFont="1" applyFill="1" applyAlignment="1">
      <alignment horizontal="left" vertical="top" wrapText="1"/>
    </xf>
    <xf numFmtId="0" fontId="9" fillId="3"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3" fillId="4" borderId="0" xfId="0" applyFont="1" applyFill="1" applyBorder="1" applyAlignment="1">
      <alignment horizontal="left" vertical="top" wrapText="1"/>
    </xf>
    <xf numFmtId="0" fontId="12" fillId="0" borderId="0" xfId="0" applyFont="1" applyFill="1" applyAlignment="1">
      <alignment horizontal="left" vertical="top" wrapText="1"/>
    </xf>
    <xf numFmtId="1" fontId="12" fillId="0" borderId="0" xfId="0" applyNumberFormat="1" applyFont="1" applyFill="1" applyAlignment="1">
      <alignment horizontal="left" vertical="top" wrapText="1"/>
    </xf>
    <xf numFmtId="0" fontId="13" fillId="0" borderId="0" xfId="0" applyFont="1"/>
    <xf numFmtId="0" fontId="0" fillId="0" borderId="0" xfId="0" applyFont="1" applyAlignment="1">
      <alignment horizontal="right"/>
    </xf>
    <xf numFmtId="0" fontId="0" fillId="0" borderId="0" xfId="0" applyAlignment="1">
      <alignment horizontal="right"/>
    </xf>
    <xf numFmtId="9" fontId="0" fillId="0" borderId="0" xfId="0" applyNumberFormat="1"/>
    <xf numFmtId="0" fontId="3" fillId="5" borderId="0" xfId="0" applyFont="1" applyFill="1" applyAlignment="1">
      <alignment wrapText="1"/>
    </xf>
    <xf numFmtId="0" fontId="0" fillId="5" borderId="0" xfId="0" applyFill="1"/>
    <xf numFmtId="0" fontId="0" fillId="0" borderId="0" xfId="0" applyAlignment="1">
      <alignment wrapText="1"/>
    </xf>
    <xf numFmtId="0" fontId="13" fillId="0" borderId="0" xfId="0" applyFont="1" applyAlignment="1">
      <alignment horizontal="left"/>
    </xf>
    <xf numFmtId="0" fontId="0" fillId="0" borderId="0" xfId="0" applyFont="1" applyBorder="1" applyAlignment="1">
      <alignment horizontal="left" vertical="top" wrapText="1"/>
    </xf>
    <xf numFmtId="0" fontId="0" fillId="0" borderId="1" xfId="0" applyBorder="1" applyAlignment="1"/>
    <xf numFmtId="0" fontId="0" fillId="0" borderId="0" xfId="0" applyFont="1" applyFill="1" applyBorder="1" applyAlignment="1">
      <alignment horizontal="left" vertical="top" wrapText="1"/>
    </xf>
    <xf numFmtId="17" fontId="0" fillId="0" borderId="0" xfId="0" applyNumberFormat="1"/>
    <xf numFmtId="0" fontId="5" fillId="0" borderId="0" xfId="0" applyFont="1" applyFill="1" applyBorder="1" applyAlignment="1">
      <alignment horizontal="left" vertical="top" wrapText="1"/>
    </xf>
    <xf numFmtId="0" fontId="3" fillId="0" borderId="0" xfId="0" applyFont="1" applyFill="1" applyAlignment="1">
      <alignment wrapText="1"/>
    </xf>
    <xf numFmtId="0" fontId="0" fillId="6" borderId="0" xfId="0" applyFill="1"/>
    <xf numFmtId="0" fontId="14" fillId="0" borderId="0" xfId="0" applyFont="1" applyFill="1" applyAlignment="1">
      <alignment horizontal="left" vertical="top" wrapText="1"/>
    </xf>
    <xf numFmtId="1" fontId="14" fillId="0" borderId="0" xfId="0" applyNumberFormat="1" applyFont="1" applyFill="1" applyAlignment="1">
      <alignment horizontal="left" vertical="top" wrapText="1"/>
    </xf>
    <xf numFmtId="0" fontId="0" fillId="0" borderId="0" xfId="0" applyBorder="1" applyAlignment="1"/>
    <xf numFmtId="0" fontId="0" fillId="0" borderId="0" xfId="0" applyNumberFormat="1"/>
    <xf numFmtId="0" fontId="7" fillId="3" borderId="0" xfId="0" applyFont="1" applyFill="1" applyBorder="1" applyAlignment="1">
      <alignment horizontal="left" vertical="top" wrapText="1"/>
    </xf>
    <xf numFmtId="0" fontId="0" fillId="0" borderId="0" xfId="0" applyFont="1" applyFill="1" applyAlignment="1"/>
    <xf numFmtId="0" fontId="16" fillId="0" borderId="0" xfId="0" applyFont="1" applyFill="1"/>
    <xf numFmtId="1" fontId="16" fillId="0" borderId="0" xfId="0" applyNumberFormat="1" applyFont="1" applyFill="1"/>
    <xf numFmtId="0" fontId="0" fillId="0" borderId="0" xfId="0" applyAlignment="1">
      <alignment horizontal="center"/>
    </xf>
    <xf numFmtId="0" fontId="0" fillId="0" borderId="3" xfId="0" applyBorder="1" applyAlignment="1">
      <alignment wrapText="1"/>
    </xf>
    <xf numFmtId="0" fontId="0" fillId="0" borderId="5" xfId="0" applyBorder="1"/>
    <xf numFmtId="0" fontId="0" fillId="0" borderId="6" xfId="0" applyBorder="1"/>
    <xf numFmtId="0" fontId="0" fillId="0" borderId="7" xfId="0" applyBorder="1"/>
    <xf numFmtId="14" fontId="0" fillId="0" borderId="6" xfId="0" applyNumberFormat="1" applyBorder="1" applyAlignment="1">
      <alignment horizontal="left"/>
    </xf>
    <xf numFmtId="10" fontId="0" fillId="0" borderId="7" xfId="0" applyNumberFormat="1" applyBorder="1"/>
    <xf numFmtId="0" fontId="0" fillId="0" borderId="6" xfId="0" applyBorder="1" applyAlignment="1">
      <alignment horizontal="right"/>
    </xf>
    <xf numFmtId="0" fontId="0" fillId="0" borderId="7" xfId="0" applyBorder="1" applyAlignment="1">
      <alignment horizontal="right"/>
    </xf>
    <xf numFmtId="0" fontId="0" fillId="0" borderId="0" xfId="0" applyBorder="1" applyAlignment="1">
      <alignment horizontal="center"/>
    </xf>
    <xf numFmtId="0" fontId="0" fillId="0" borderId="4" xfId="0" applyBorder="1" applyAlignment="1">
      <alignment horizontal="center" wrapText="1"/>
    </xf>
    <xf numFmtId="0" fontId="0" fillId="0" borderId="9" xfId="0" applyBorder="1" applyAlignment="1">
      <alignment horizontal="center"/>
    </xf>
    <xf numFmtId="0" fontId="0" fillId="0" borderId="1" xfId="0" applyFont="1" applyBorder="1" applyAlignment="1">
      <alignment horizontal="left" vertical="top" wrapText="1"/>
    </xf>
    <xf numFmtId="0" fontId="0" fillId="0" borderId="6" xfId="0" applyFill="1" applyBorder="1"/>
    <xf numFmtId="0" fontId="0" fillId="0" borderId="8" xfId="0" applyFill="1" applyBorder="1"/>
    <xf numFmtId="0" fontId="0" fillId="0" borderId="11" xfId="0" applyBorder="1" applyAlignment="1">
      <alignment horizontal="center"/>
    </xf>
    <xf numFmtId="0" fontId="0" fillId="0" borderId="12" xfId="0" applyBorder="1" applyAlignment="1">
      <alignment horizontal="center"/>
    </xf>
    <xf numFmtId="0" fontId="0" fillId="0" borderId="6" xfId="0" applyFont="1" applyBorder="1" applyAlignment="1">
      <alignment horizontal="left" vertical="top" wrapText="1"/>
    </xf>
    <xf numFmtId="0" fontId="17" fillId="8" borderId="11" xfId="0" applyFont="1" applyFill="1" applyBorder="1" applyAlignment="1">
      <alignment horizontal="center"/>
    </xf>
    <xf numFmtId="0" fontId="0" fillId="8" borderId="6" xfId="0" applyFill="1" applyBorder="1"/>
    <xf numFmtId="0" fontId="0" fillId="8" borderId="11" xfId="0" applyFill="1" applyBorder="1" applyAlignment="1">
      <alignment horizontal="center"/>
    </xf>
    <xf numFmtId="14" fontId="3" fillId="0" borderId="0" xfId="0" applyNumberFormat="1" applyFont="1" applyFill="1" applyBorder="1" applyAlignment="1">
      <alignment horizontal="left" wrapText="1"/>
    </xf>
    <xf numFmtId="0" fontId="0" fillId="0" borderId="7" xfId="0" applyBorder="1" applyAlignment="1">
      <alignment horizontal="center"/>
    </xf>
    <xf numFmtId="0" fontId="0" fillId="0" borderId="16" xfId="0" applyBorder="1" applyAlignment="1">
      <alignment horizontal="center"/>
    </xf>
    <xf numFmtId="14" fontId="0" fillId="0" borderId="6" xfId="0" applyNumberFormat="1" applyFont="1" applyFill="1" applyBorder="1" applyAlignment="1">
      <alignment horizontal="left"/>
    </xf>
    <xf numFmtId="0" fontId="0" fillId="0" borderId="17" xfId="0" applyBorder="1" applyAlignment="1">
      <alignment horizontal="center"/>
    </xf>
    <xf numFmtId="0" fontId="0" fillId="0" borderId="18" xfId="0" applyBorder="1" applyAlignment="1">
      <alignment horizontal="center"/>
    </xf>
    <xf numFmtId="0" fontId="0" fillId="0" borderId="10" xfId="0" applyBorder="1" applyAlignment="1">
      <alignment horizontal="center"/>
    </xf>
    <xf numFmtId="0" fontId="0" fillId="0" borderId="19" xfId="0" applyBorder="1"/>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10" fontId="0" fillId="0" borderId="23" xfId="0" applyNumberFormat="1" applyBorder="1"/>
    <xf numFmtId="1" fontId="0" fillId="0" borderId="17" xfId="0" applyNumberFormat="1" applyBorder="1" applyAlignment="1">
      <alignment horizontal="center"/>
    </xf>
    <xf numFmtId="1" fontId="0" fillId="8" borderId="11" xfId="0" applyNumberFormat="1" applyFill="1" applyBorder="1" applyAlignment="1">
      <alignment horizontal="center"/>
    </xf>
    <xf numFmtId="1" fontId="0" fillId="0" borderId="12" xfId="0" applyNumberFormat="1" applyBorder="1" applyAlignment="1">
      <alignment horizontal="center"/>
    </xf>
    <xf numFmtId="10" fontId="0" fillId="0" borderId="0" xfId="0" applyNumberFormat="1"/>
    <xf numFmtId="0" fontId="11" fillId="0" borderId="0" xfId="0" applyFont="1" applyFill="1" applyBorder="1" applyAlignment="1">
      <alignment horizontal="left" vertical="top" wrapText="1"/>
    </xf>
    <xf numFmtId="0" fontId="0" fillId="0" borderId="0" xfId="0" applyNumberFormat="1" applyAlignment="1"/>
    <xf numFmtId="0" fontId="12" fillId="0" borderId="0" xfId="0" applyFont="1" applyFill="1" applyBorder="1" applyAlignment="1">
      <alignment horizontal="left" vertical="top" wrapText="1"/>
    </xf>
    <xf numFmtId="14" fontId="8" fillId="8" borderId="6" xfId="0" applyNumberFormat="1" applyFont="1" applyFill="1" applyBorder="1" applyAlignment="1">
      <alignment horizontal="left" wrapText="1"/>
    </xf>
    <xf numFmtId="0" fontId="20" fillId="9" borderId="30" xfId="2" applyBorder="1"/>
    <xf numFmtId="0" fontId="20" fillId="9" borderId="31" xfId="2" applyBorder="1"/>
    <xf numFmtId="0" fontId="20" fillId="9" borderId="26" xfId="2" applyBorder="1"/>
    <xf numFmtId="0" fontId="20" fillId="9" borderId="27" xfId="2" applyBorder="1"/>
    <xf numFmtId="0" fontId="20" fillId="9" borderId="34" xfId="2" applyBorder="1"/>
    <xf numFmtId="0" fontId="20" fillId="9" borderId="35" xfId="2" applyBorder="1"/>
    <xf numFmtId="0" fontId="20" fillId="9" borderId="28" xfId="2" applyBorder="1"/>
    <xf numFmtId="0" fontId="3" fillId="0" borderId="0" xfId="0" applyFont="1" applyAlignment="1">
      <alignment horizontal="left"/>
    </xf>
    <xf numFmtId="0" fontId="20" fillId="9" borderId="29" xfId="2" applyBorder="1"/>
    <xf numFmtId="0" fontId="21" fillId="10" borderId="24" xfId="3" applyFont="1" applyBorder="1" applyAlignment="1">
      <alignment horizontal="center"/>
    </xf>
    <xf numFmtId="0" fontId="21" fillId="10" borderId="25" xfId="3" applyFont="1" applyBorder="1" applyAlignment="1">
      <alignment horizontal="center"/>
    </xf>
    <xf numFmtId="0" fontId="19" fillId="0" borderId="0" xfId="0" applyFont="1" applyFill="1" applyAlignment="1">
      <alignment horizontal="left" vertical="top" wrapText="1"/>
    </xf>
    <xf numFmtId="1" fontId="18" fillId="0" borderId="0" xfId="0" applyNumberFormat="1" applyFont="1"/>
    <xf numFmtId="0" fontId="0" fillId="0" borderId="0" xfId="0" applyFont="1"/>
    <xf numFmtId="0" fontId="22" fillId="0" borderId="0" xfId="0" applyFont="1" applyFill="1" applyAlignment="1">
      <alignment horizontal="left" vertical="top" wrapText="1"/>
    </xf>
    <xf numFmtId="1" fontId="22" fillId="0" borderId="0" xfId="0" applyNumberFormat="1" applyFont="1" applyFill="1" applyAlignment="1">
      <alignment horizontal="left" vertical="top" wrapText="1"/>
    </xf>
    <xf numFmtId="0" fontId="22" fillId="3" borderId="0" xfId="0" applyFont="1" applyFill="1" applyAlignment="1">
      <alignment horizontal="left" vertical="top" wrapText="1"/>
    </xf>
    <xf numFmtId="0" fontId="10" fillId="4" borderId="0" xfId="0" applyFont="1" applyFill="1" applyAlignment="1">
      <alignment horizontal="left" vertical="top" wrapText="1"/>
    </xf>
    <xf numFmtId="0" fontId="10" fillId="4" borderId="0" xfId="0" applyFont="1" applyFill="1" applyBorder="1" applyAlignment="1">
      <alignment horizontal="left" vertical="top" wrapText="1"/>
    </xf>
    <xf numFmtId="0" fontId="23" fillId="0" borderId="0" xfId="0" applyFont="1" applyFill="1" applyAlignment="1">
      <alignment horizontal="left" vertical="top" wrapText="1"/>
    </xf>
    <xf numFmtId="1" fontId="23" fillId="0" borderId="0" xfId="0" applyNumberFormat="1" applyFont="1" applyFill="1" applyAlignment="1">
      <alignment horizontal="left" vertical="top" wrapText="1"/>
    </xf>
    <xf numFmtId="0" fontId="0" fillId="0" borderId="0" xfId="0" applyFont="1" applyFill="1" applyAlignment="1">
      <alignment horizontal="left" vertical="top" wrapText="1"/>
    </xf>
    <xf numFmtId="0" fontId="24" fillId="0" borderId="0" xfId="0" applyFont="1" applyFill="1" applyAlignment="1">
      <alignment horizontal="left" vertical="top" wrapText="1"/>
    </xf>
    <xf numFmtId="1" fontId="24" fillId="0" borderId="0" xfId="0" applyNumberFormat="1" applyFont="1" applyFill="1" applyAlignment="1">
      <alignment horizontal="left" vertical="top" wrapText="1"/>
    </xf>
    <xf numFmtId="0" fontId="24" fillId="2" borderId="0" xfId="0" applyFont="1" applyFill="1" applyAlignment="1">
      <alignment horizontal="left" vertical="top" wrapText="1"/>
    </xf>
    <xf numFmtId="0" fontId="3" fillId="2" borderId="0" xfId="0" applyFont="1" applyFill="1" applyBorder="1" applyAlignment="1">
      <alignment horizontal="left" vertical="top" wrapText="1"/>
    </xf>
    <xf numFmtId="0" fontId="23" fillId="0" borderId="0" xfId="0" applyFont="1" applyFill="1" applyBorder="1" applyAlignment="1">
      <alignment horizontal="left" vertical="top" wrapText="1"/>
    </xf>
    <xf numFmtId="0" fontId="10" fillId="3" borderId="0" xfId="0" applyFont="1" applyFill="1" applyBorder="1" applyAlignment="1">
      <alignment horizontal="left" vertical="top" wrapText="1"/>
    </xf>
    <xf numFmtId="0" fontId="25" fillId="0" borderId="0" xfId="0" applyFont="1" applyFill="1" applyAlignment="1">
      <alignment horizontal="left" vertical="top" wrapText="1"/>
    </xf>
    <xf numFmtId="1" fontId="25" fillId="0" borderId="0" xfId="0" applyNumberFormat="1" applyFont="1" applyFill="1" applyAlignment="1">
      <alignment horizontal="left" vertical="top" wrapText="1"/>
    </xf>
    <xf numFmtId="164" fontId="0" fillId="0" borderId="0" xfId="0" applyNumberFormat="1" applyFont="1"/>
    <xf numFmtId="164" fontId="0" fillId="0" borderId="0" xfId="0" applyNumberFormat="1"/>
    <xf numFmtId="0" fontId="18" fillId="0" borderId="0" xfId="0" applyFont="1"/>
    <xf numFmtId="164" fontId="18" fillId="0" borderId="0" xfId="0" applyNumberFormat="1" applyFont="1"/>
    <xf numFmtId="0" fontId="12" fillId="3" borderId="0" xfId="0" applyFont="1" applyFill="1" applyBorder="1" applyAlignment="1">
      <alignment horizontal="left" vertical="top" wrapText="1"/>
    </xf>
    <xf numFmtId="0" fontId="7" fillId="2" borderId="0" xfId="0" applyFont="1" applyFill="1" applyAlignment="1">
      <alignment horizontal="left" vertical="top" wrapText="1"/>
    </xf>
    <xf numFmtId="0" fontId="10" fillId="11" borderId="0" xfId="0" applyFont="1" applyFill="1" applyAlignment="1">
      <alignment horizontal="left" vertical="top" wrapText="1"/>
    </xf>
    <xf numFmtId="0" fontId="3" fillId="11" borderId="0" xfId="0" applyFont="1" applyFill="1" applyAlignment="1">
      <alignment horizontal="left" vertical="top" wrapText="1"/>
    </xf>
    <xf numFmtId="0" fontId="11" fillId="2" borderId="0" xfId="0" applyFont="1" applyFill="1" applyAlignment="1">
      <alignment horizontal="left" vertical="top" wrapText="1"/>
    </xf>
    <xf numFmtId="0" fontId="6" fillId="2" borderId="0" xfId="0" applyFont="1" applyFill="1" applyBorder="1" applyAlignment="1">
      <alignment horizontal="left" vertical="top" wrapText="1"/>
    </xf>
    <xf numFmtId="0" fontId="14" fillId="2" borderId="0" xfId="0" applyFont="1" applyFill="1" applyBorder="1" applyAlignment="1">
      <alignment horizontal="left" vertical="top" wrapText="1"/>
    </xf>
    <xf numFmtId="0" fontId="14" fillId="0" borderId="0" xfId="0" applyFont="1" applyFill="1" applyBorder="1" applyAlignment="1">
      <alignment horizontal="left" vertical="top" wrapText="1"/>
    </xf>
    <xf numFmtId="0" fontId="25" fillId="0" borderId="0" xfId="0" applyFont="1" applyFill="1" applyBorder="1" applyAlignment="1">
      <alignment horizontal="left" vertical="top" wrapText="1"/>
    </xf>
    <xf numFmtId="1" fontId="16" fillId="0" borderId="0" xfId="0" applyNumberFormat="1" applyFont="1"/>
    <xf numFmtId="0" fontId="16" fillId="0" borderId="0" xfId="0" applyFont="1"/>
    <xf numFmtId="1" fontId="16" fillId="0" borderId="0" xfId="0" applyNumberFormat="1" applyFont="1" applyFill="1" applyBorder="1" applyAlignment="1">
      <alignment horizontal="center"/>
    </xf>
    <xf numFmtId="0" fontId="8" fillId="11" borderId="0" xfId="0" applyFont="1" applyFill="1" applyAlignment="1">
      <alignment horizontal="left" vertical="top" wrapText="1"/>
    </xf>
    <xf numFmtId="0" fontId="11" fillId="11" borderId="0" xfId="0" applyFont="1" applyFill="1" applyAlignment="1">
      <alignment horizontal="left" vertical="top" wrapText="1"/>
    </xf>
    <xf numFmtId="0" fontId="3" fillId="11" borderId="0" xfId="0" applyFont="1" applyFill="1" applyBorder="1" applyAlignment="1">
      <alignment horizontal="left" vertical="top" wrapText="1"/>
    </xf>
    <xf numFmtId="0" fontId="23" fillId="3" borderId="0" xfId="0" applyFont="1" applyFill="1" applyBorder="1" applyAlignment="1">
      <alignment horizontal="left" vertical="top" wrapText="1"/>
    </xf>
    <xf numFmtId="0" fontId="26" fillId="0" borderId="0" xfId="0" applyFont="1" applyFill="1" applyAlignment="1">
      <alignment horizontal="left" vertical="top" wrapText="1"/>
    </xf>
    <xf numFmtId="1" fontId="26" fillId="0" borderId="0" xfId="0" applyNumberFormat="1" applyFont="1" applyFill="1" applyAlignment="1">
      <alignment horizontal="left" vertical="top" wrapText="1"/>
    </xf>
    <xf numFmtId="0" fontId="26" fillId="4" borderId="0" xfId="0" applyFont="1" applyFill="1" applyAlignment="1">
      <alignment horizontal="left" vertical="top" wrapText="1"/>
    </xf>
    <xf numFmtId="0" fontId="27" fillId="0" borderId="0" xfId="0" applyFont="1" applyFill="1" applyAlignment="1">
      <alignment horizontal="left" vertical="top" wrapText="1"/>
    </xf>
    <xf numFmtId="1" fontId="27" fillId="0" borderId="0" xfId="0" applyNumberFormat="1" applyFont="1" applyFill="1" applyAlignment="1">
      <alignment horizontal="left" vertical="top" wrapText="1"/>
    </xf>
    <xf numFmtId="0" fontId="28" fillId="0" borderId="0" xfId="0" applyFont="1" applyFill="1" applyAlignment="1">
      <alignment horizontal="left" vertical="top" wrapText="1"/>
    </xf>
    <xf numFmtId="1" fontId="28" fillId="0" borderId="0" xfId="0" applyNumberFormat="1" applyFont="1" applyFill="1" applyAlignment="1">
      <alignment horizontal="left" vertical="top" wrapText="1"/>
    </xf>
    <xf numFmtId="0" fontId="28" fillId="2" borderId="0" xfId="0" applyFont="1" applyFill="1" applyAlignment="1">
      <alignment horizontal="left" vertical="top" wrapText="1"/>
    </xf>
    <xf numFmtId="0" fontId="25" fillId="3" borderId="0" xfId="0" applyFont="1" applyFill="1" applyAlignment="1">
      <alignment horizontal="left" vertical="top" wrapText="1"/>
    </xf>
    <xf numFmtId="164" fontId="16" fillId="0" borderId="0" xfId="0" applyNumberFormat="1" applyFont="1"/>
    <xf numFmtId="0" fontId="16" fillId="0" borderId="0" xfId="0" applyFont="1" applyAlignment="1">
      <alignment horizontal="right"/>
    </xf>
    <xf numFmtId="0" fontId="29" fillId="0" borderId="0" xfId="0" applyFont="1" applyFill="1" applyAlignment="1">
      <alignment horizontal="left" vertical="top" wrapText="1"/>
    </xf>
    <xf numFmtId="1" fontId="29" fillId="0" borderId="0" xfId="0" applyNumberFormat="1" applyFont="1" applyFill="1" applyAlignment="1">
      <alignment horizontal="left" vertical="top" wrapText="1"/>
    </xf>
    <xf numFmtId="0" fontId="29" fillId="2" borderId="0" xfId="0" applyFont="1" applyFill="1" applyAlignment="1">
      <alignment horizontal="left" vertical="top" wrapText="1"/>
    </xf>
    <xf numFmtId="0" fontId="30" fillId="0" borderId="0" xfId="0" applyFont="1" applyFill="1" applyAlignment="1">
      <alignment horizontal="left" vertical="top" wrapText="1"/>
    </xf>
    <xf numFmtId="1" fontId="30" fillId="0" borderId="0" xfId="0" applyNumberFormat="1" applyFont="1" applyFill="1" applyAlignment="1">
      <alignment horizontal="left" vertical="top" wrapText="1"/>
    </xf>
    <xf numFmtId="0" fontId="30" fillId="2" borderId="0" xfId="0" applyFont="1" applyFill="1" applyAlignment="1">
      <alignment horizontal="left" vertical="top" wrapText="1"/>
    </xf>
    <xf numFmtId="0" fontId="0" fillId="0" borderId="36" xfId="0" applyFont="1" applyBorder="1" applyAlignment="1"/>
    <xf numFmtId="14" fontId="0" fillId="0" borderId="1" xfId="0" applyNumberFormat="1" applyFont="1" applyBorder="1" applyAlignment="1"/>
    <xf numFmtId="1" fontId="0" fillId="0" borderId="1" xfId="0" applyNumberFormat="1" applyFont="1" applyBorder="1" applyAlignment="1"/>
    <xf numFmtId="0" fontId="0" fillId="12" borderId="36" xfId="0" applyFont="1" applyFill="1" applyBorder="1" applyAlignment="1"/>
    <xf numFmtId="14" fontId="0" fillId="12" borderId="1" xfId="0" applyNumberFormat="1" applyFont="1" applyFill="1" applyBorder="1" applyAlignment="1"/>
    <xf numFmtId="1" fontId="0" fillId="12" borderId="1" xfId="0" applyNumberFormat="1" applyFont="1" applyFill="1" applyBorder="1" applyAlignment="1"/>
    <xf numFmtId="0" fontId="0" fillId="12" borderId="1" xfId="0" applyFont="1" applyFill="1" applyBorder="1"/>
    <xf numFmtId="0" fontId="0" fillId="0" borderId="1" xfId="0" applyFont="1" applyBorder="1"/>
    <xf numFmtId="0" fontId="21" fillId="13" borderId="36" xfId="0" applyFont="1" applyFill="1" applyBorder="1" applyAlignment="1"/>
    <xf numFmtId="14" fontId="21" fillId="13" borderId="1" xfId="0" applyNumberFormat="1" applyFont="1" applyFill="1" applyBorder="1" applyAlignment="1"/>
    <xf numFmtId="0" fontId="0" fillId="12" borderId="36" xfId="0" applyFont="1" applyFill="1" applyBorder="1" applyAlignment="1">
      <alignment horizontal="left" vertical="top" wrapText="1"/>
    </xf>
    <xf numFmtId="14" fontId="0" fillId="12" borderId="1" xfId="0" applyNumberFormat="1" applyFont="1" applyFill="1" applyBorder="1" applyAlignment="1">
      <alignment vertical="top"/>
    </xf>
    <xf numFmtId="0" fontId="0" fillId="12" borderId="1" xfId="0" applyFont="1" applyFill="1" applyBorder="1" applyAlignment="1">
      <alignment vertical="top"/>
    </xf>
    <xf numFmtId="1" fontId="0" fillId="12" borderId="1" xfId="0" applyNumberFormat="1" applyFont="1" applyFill="1" applyBorder="1" applyAlignment="1">
      <alignment vertical="top"/>
    </xf>
    <xf numFmtId="0" fontId="33" fillId="0" borderId="0" xfId="0" applyFont="1" applyFill="1" applyAlignment="1">
      <alignment horizontal="left" vertical="top" wrapText="1"/>
    </xf>
    <xf numFmtId="1" fontId="33" fillId="0" borderId="0" xfId="0" applyNumberFormat="1" applyFont="1" applyFill="1" applyAlignment="1">
      <alignment horizontal="left" vertical="top" wrapText="1"/>
    </xf>
    <xf numFmtId="0" fontId="33" fillId="2" borderId="0" xfId="0" applyFont="1" applyFill="1" applyAlignment="1">
      <alignment horizontal="left" vertical="top" wrapText="1"/>
    </xf>
    <xf numFmtId="0" fontId="15" fillId="7" borderId="13" xfId="1" applyBorder="1" applyAlignment="1">
      <alignment horizontal="center"/>
    </xf>
    <xf numFmtId="0" fontId="15" fillId="7" borderId="14" xfId="1" applyBorder="1" applyAlignment="1">
      <alignment horizontal="center"/>
    </xf>
    <xf numFmtId="0" fontId="15" fillId="7" borderId="15" xfId="1" applyBorder="1" applyAlignment="1">
      <alignment horizontal="center"/>
    </xf>
    <xf numFmtId="14" fontId="15" fillId="7" borderId="13" xfId="1" applyNumberFormat="1" applyBorder="1" applyAlignment="1">
      <alignment horizontal="center"/>
    </xf>
    <xf numFmtId="14" fontId="15" fillId="7" borderId="14" xfId="1" applyNumberFormat="1" applyBorder="1" applyAlignment="1">
      <alignment horizontal="center"/>
    </xf>
    <xf numFmtId="14" fontId="15" fillId="7" borderId="15" xfId="1" applyNumberFormat="1" applyBorder="1" applyAlignment="1">
      <alignment horizontal="center"/>
    </xf>
    <xf numFmtId="0" fontId="18" fillId="0" borderId="6" xfId="0" applyFont="1" applyBorder="1" applyAlignment="1">
      <alignment horizontal="center"/>
    </xf>
    <xf numFmtId="0" fontId="18" fillId="0" borderId="0" xfId="0" applyFont="1" applyAlignment="1">
      <alignment horizontal="center"/>
    </xf>
    <xf numFmtId="0" fontId="4" fillId="0" borderId="0" xfId="0" applyFont="1" applyAlignment="1">
      <alignment horizontal="left"/>
    </xf>
    <xf numFmtId="14" fontId="3" fillId="2" borderId="0" xfId="0" applyNumberFormat="1" applyFont="1" applyFill="1" applyAlignment="1">
      <alignment horizontal="left"/>
    </xf>
    <xf numFmtId="14" fontId="3" fillId="3" borderId="0" xfId="0" applyNumberFormat="1" applyFont="1" applyFill="1" applyAlignment="1">
      <alignment horizontal="left"/>
    </xf>
    <xf numFmtId="14" fontId="3" fillId="4" borderId="0" xfId="0" applyNumberFormat="1" applyFont="1" applyFill="1" applyAlignment="1">
      <alignment horizontal="left"/>
    </xf>
    <xf numFmtId="0" fontId="15" fillId="7" borderId="32" xfId="1" applyBorder="1" applyAlignment="1">
      <alignment horizontal="center"/>
    </xf>
    <xf numFmtId="0" fontId="15" fillId="7" borderId="33" xfId="1" applyBorder="1" applyAlignment="1">
      <alignment horizontal="center"/>
    </xf>
  </cellXfs>
  <cellStyles count="4">
    <cellStyle name="20% - Accent2" xfId="2" builtinId="34"/>
    <cellStyle name="60% - Accent2" xfId="3" builtinId="36"/>
    <cellStyle name="Calculation" xfId="1" builtinId="22"/>
    <cellStyle name="Normal" xfId="0" builtinId="0"/>
  </cellStyles>
  <dxfs count="58">
    <dxf>
      <fill>
        <patternFill patternType="solid">
          <fgColor rgb="FFFFC000"/>
          <bgColor rgb="FF000000"/>
        </patternFill>
      </fill>
    </dxf>
    <dxf>
      <fill>
        <patternFill patternType="solid">
          <fgColor rgb="FFFFC000"/>
          <bgColor rgb="FF000000"/>
        </patternFill>
      </fill>
    </dxf>
    <dxf>
      <fill>
        <patternFill patternType="solid">
          <fgColor rgb="FF70AD47"/>
          <bgColor rgb="FF000000"/>
        </patternFill>
      </fill>
    </dxf>
    <dxf>
      <fill>
        <patternFill patternType="solid">
          <fgColor rgb="FF70AD47"/>
          <bgColor rgb="FF000000"/>
        </patternFill>
      </fill>
    </dxf>
    <dxf>
      <fill>
        <patternFill patternType="solid">
          <fgColor rgb="FF70AD47"/>
          <bgColor rgb="FF000000"/>
        </patternFill>
      </fill>
    </dxf>
    <dxf>
      <fill>
        <patternFill patternType="solid">
          <fgColor rgb="FF70AD47"/>
          <bgColor rgb="FF000000"/>
        </patternFill>
      </fill>
    </dxf>
    <dxf>
      <fill>
        <patternFill patternType="solid">
          <fgColor rgb="FFFFC000"/>
          <bgColor rgb="FF000000"/>
        </patternFill>
      </fill>
    </dxf>
    <dxf>
      <fill>
        <patternFill patternType="solid">
          <fgColor rgb="FFFFC000"/>
          <bgColor rgb="FF000000"/>
        </patternFill>
      </fill>
    </dxf>
    <dxf>
      <numFmt numFmtId="0" formatCode="General"/>
    </dxf>
    <dxf>
      <numFmt numFmtId="0" formatCode="General"/>
    </dxf>
    <dxf>
      <numFmt numFmtId="0" formatCode="General"/>
    </dxf>
    <dxf>
      <alignment horizontal="general" vertical="bottom" textRotation="0" wrapText="1" indent="0" justifyLastLine="0" shrinkToFit="0" readingOrder="0"/>
    </dxf>
    <dxf>
      <font>
        <strike val="0"/>
        <outline val="0"/>
        <shadow val="0"/>
        <u val="none"/>
        <vertAlign val="baseline"/>
        <sz val="12"/>
        <color theme="1"/>
        <name val="Calibri"/>
        <scheme val="minor"/>
      </font>
      <fill>
        <patternFill patternType="none">
          <fgColor indexed="64"/>
          <bgColor auto="1"/>
        </patternFill>
      </fill>
      <alignment horizontal="left" vertical="top" textRotation="0" wrapText="1" indent="0" justifyLastLine="0" shrinkToFit="0" readingOrder="0"/>
    </dxf>
    <dxf>
      <font>
        <strike val="0"/>
        <outline val="0"/>
        <shadow val="0"/>
        <u val="none"/>
        <vertAlign val="baseline"/>
        <sz val="12"/>
        <color theme="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left" vertical="top" textRotation="0" wrapText="1" indent="0" justifyLastLine="0" shrinkToFit="0" readingOrder="0"/>
    </dxf>
    <dxf>
      <font>
        <strike val="0"/>
        <outline val="0"/>
        <shadow val="0"/>
        <u val="none"/>
        <vertAlign val="baseline"/>
        <sz val="12"/>
        <color theme="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theme="1"/>
        <name val="Calibri"/>
        <scheme val="minor"/>
      </font>
      <numFmt numFmtId="1" formatCode="0"/>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left" vertical="top" textRotation="0" wrapText="1" indent="0" justifyLastLine="0" shrinkToFit="0" readingOrder="0"/>
    </dxf>
    <dxf>
      <font>
        <strike val="0"/>
        <outline val="0"/>
        <shadow val="0"/>
        <u val="none"/>
        <vertAlign val="baseline"/>
        <sz val="12"/>
        <color theme="1"/>
        <name val="Calibri"/>
        <scheme val="minor"/>
      </font>
      <fill>
        <patternFill patternType="none">
          <fgColor indexed="64"/>
          <bgColor auto="1"/>
        </patternFill>
      </fill>
      <alignment horizontal="left" vertical="top" textRotation="0" wrapText="1" indent="0" justifyLastLine="0" shrinkToFit="0" readingOrder="0"/>
    </dxf>
    <dxf>
      <font>
        <strike val="0"/>
        <outline val="0"/>
        <shadow val="0"/>
        <u val="none"/>
        <vertAlign val="baseline"/>
        <sz val="12"/>
        <color theme="1"/>
        <name val="Calibri"/>
        <scheme val="minor"/>
      </font>
      <fill>
        <patternFill patternType="none">
          <fgColor indexed="64"/>
          <bgColor auto="1"/>
        </patternFill>
      </fill>
      <alignment horizontal="left" vertical="top" textRotation="0" wrapText="1" indent="0" justifyLastLine="0" shrinkToFit="0" readingOrder="0"/>
    </dxf>
    <dxf>
      <font>
        <strike val="0"/>
        <outline val="0"/>
        <shadow val="0"/>
        <u val="none"/>
        <vertAlign val="baseline"/>
        <sz val="12"/>
        <color theme="1"/>
        <name val="Calibri"/>
        <scheme val="minor"/>
      </font>
      <fill>
        <patternFill patternType="none">
          <fgColor indexed="64"/>
          <bgColor auto="1"/>
        </patternFill>
      </fill>
      <alignment horizontal="left" vertical="top" textRotation="0" wrapText="1" indent="0" justifyLastLine="0" shrinkToFit="0" readingOrder="0"/>
    </dxf>
    <dxf>
      <font>
        <strike val="0"/>
        <outline val="0"/>
        <shadow val="0"/>
        <u val="none"/>
        <vertAlign val="baseline"/>
        <sz val="12"/>
        <color theme="1"/>
        <name val="Calibri"/>
        <scheme val="minor"/>
      </font>
      <fill>
        <patternFill patternType="none">
          <fgColor indexed="64"/>
          <bgColor auto="1"/>
        </patternFill>
      </fill>
      <alignment horizontal="left" vertical="top" textRotation="0" wrapText="1" indent="0" justifyLastLine="0" shrinkToFit="0" readingOrder="0"/>
    </dxf>
    <dxf>
      <font>
        <strike val="0"/>
        <outline val="0"/>
        <shadow val="0"/>
        <u val="none"/>
        <vertAlign val="baseline"/>
        <sz val="12"/>
        <color theme="1"/>
        <name val="Calibri"/>
        <scheme val="minor"/>
      </font>
      <fill>
        <patternFill patternType="none">
          <fgColor indexed="64"/>
          <bgColor indexed="65"/>
        </patternFill>
      </fill>
      <alignment horizontal="left" vertical="top" textRotation="0" wrapText="1" indent="0" justifyLastLine="0" shrinkToFit="0" readingOrder="0"/>
    </dxf>
    <dxf>
      <font>
        <strike val="0"/>
        <outline val="0"/>
        <shadow val="0"/>
        <u val="none"/>
        <vertAlign val="baseline"/>
        <sz val="12"/>
        <color theme="1"/>
        <name val="Calibri"/>
        <scheme val="minor"/>
      </font>
      <fill>
        <patternFill patternType="none">
          <fgColor indexed="64"/>
          <bgColor auto="1"/>
        </patternFill>
      </fill>
      <alignment horizontal="left" vertical="top" textRotation="0" wrapText="1" indent="0" justifyLastLine="0" shrinkToFit="0" readingOrder="0"/>
    </dxf>
    <dxf>
      <font>
        <strike val="0"/>
        <outline val="0"/>
        <shadow val="0"/>
        <u val="none"/>
        <vertAlign val="baseline"/>
        <sz val="12"/>
        <color theme="1"/>
        <name val="Calibri"/>
        <scheme val="minor"/>
      </font>
      <fill>
        <patternFill patternType="none">
          <fgColor indexed="64"/>
          <bgColor auto="1"/>
        </patternFill>
      </fill>
      <alignment horizontal="left" vertical="top" textRotation="0" wrapText="1" indent="0" justifyLastLine="0" shrinkToFit="0" readingOrder="0"/>
    </dxf>
    <dxf>
      <fill>
        <patternFill patternType="solid">
          <fgColor rgb="FFFFC000"/>
          <bgColor rgb="FF000000"/>
        </patternFill>
      </fill>
    </dxf>
    <dxf>
      <font>
        <strike val="0"/>
        <outline val="0"/>
        <shadow val="0"/>
        <u val="none"/>
        <vertAlign val="baseline"/>
        <sz val="12"/>
        <color theme="1"/>
        <name val="Calibri"/>
        <scheme val="minor"/>
      </font>
      <fill>
        <patternFill patternType="none">
          <fgColor indexed="64"/>
          <bgColor auto="1"/>
        </patternFill>
      </fill>
      <alignment horizontal="left" vertical="top" textRotation="0" wrapText="1" indent="0" justifyLastLine="0" shrinkToFit="0" readingOrder="0"/>
    </dxf>
    <dxf>
      <font>
        <strike val="0"/>
        <outline val="0"/>
        <shadow val="0"/>
        <u val="none"/>
        <vertAlign val="baseline"/>
        <sz val="12"/>
        <color theme="1"/>
        <name val="Calibri"/>
        <scheme val="minor"/>
      </font>
      <alignment horizontal="general" vertical="bottom" textRotation="0" wrapText="1"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1" formatCode="0"/>
      <alignment horizontal="general" vertical="bottom" textRotation="0" wrapText="0" indent="0" justifyLastLine="0" shrinkToFit="0" readingOrder="0"/>
    </dxf>
    <dxf>
      <numFmt numFmtId="1" formatCode="0"/>
      <alignment horizontal="general" vertical="bottom" textRotation="0" wrapText="0" indent="0" justifyLastLine="0" shrinkToFit="0" readingOrder="0"/>
    </dxf>
    <dxf>
      <numFmt numFmtId="19" formatCode="m/d/yyyy"/>
      <alignment horizontal="general" vertical="bottom" textRotation="0" wrapText="0" indent="0" justifyLastLine="0" shrinkToFit="0" readingOrder="0"/>
    </dxf>
    <dxf>
      <numFmt numFmtId="1" formatCode="0"/>
      <alignment horizontal="general" vertical="bottom" textRotation="0" wrapText="0" indent="0" justifyLastLine="0" shrinkToFit="0" readingOrder="0"/>
    </dxf>
    <dxf>
      <numFmt numFmtId="1" formatCode="0"/>
      <alignment horizontal="general" vertical="bottom" textRotation="0" wrapText="0" indent="0" justifyLastLine="0" shrinkToFit="0" readingOrder="0"/>
    </dxf>
    <dxf>
      <numFmt numFmtId="1" formatCode="0"/>
      <alignment horizontal="general" vertical="bottom" textRotation="0" wrapText="0" indent="0" justifyLastLine="0" shrinkToFit="0" readingOrder="0"/>
    </dxf>
    <dxf>
      <numFmt numFmtId="19" formatCode="m/d/yyyy"/>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06/relationships/vbaProject" Target="vbaProject.bin"/></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 Defects by Month</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'Defect Statistics Dashboard'!$A$2</c:f>
              <c:strCache>
                <c:ptCount val="1"/>
                <c:pt idx="0">
                  <c:v>New Defect Opened (with known open date)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'Defect Statistics Dashboard'!$B$1:$M$1</c:f>
              <c:strCache>
                <c:ptCount val="12"/>
                <c:pt idx="0">
                  <c:v>Pre 2016</c:v>
                </c:pt>
                <c:pt idx="1">
                  <c:v>Jan-16</c:v>
                </c:pt>
                <c:pt idx="2">
                  <c:v>Feb-16</c:v>
                </c:pt>
                <c:pt idx="3">
                  <c:v>Mar-16</c:v>
                </c:pt>
                <c:pt idx="4">
                  <c:v>Apr-16</c:v>
                </c:pt>
                <c:pt idx="5">
                  <c:v>May-16</c:v>
                </c:pt>
                <c:pt idx="6">
                  <c:v>Jun-16</c:v>
                </c:pt>
                <c:pt idx="7">
                  <c:v>Jul-16</c:v>
                </c:pt>
                <c:pt idx="8">
                  <c:v>Aug-16</c:v>
                </c:pt>
                <c:pt idx="9">
                  <c:v>Sep-16</c:v>
                </c:pt>
                <c:pt idx="10">
                  <c:v>Oct-16</c:v>
                </c:pt>
                <c:pt idx="11">
                  <c:v>Nov-16</c:v>
                </c:pt>
              </c:strCache>
            </c:strRef>
          </c:cat>
          <c:val>
            <c:numRef>
              <c:f>'Defect Statistics Dashboard'!$B$2:$M$2</c:f>
              <c:numCache>
                <c:formatCode>General</c:formatCode>
                <c:ptCount val="12"/>
                <c:pt idx="0">
                  <c:v>22</c:v>
                </c:pt>
                <c:pt idx="1">
                  <c:v>5</c:v>
                </c:pt>
                <c:pt idx="2">
                  <c:v>5</c:v>
                </c:pt>
                <c:pt idx="3">
                  <c:v>8</c:v>
                </c:pt>
                <c:pt idx="4">
                  <c:v>14</c:v>
                </c:pt>
                <c:pt idx="5">
                  <c:v>6</c:v>
                </c:pt>
                <c:pt idx="6">
                  <c:v>3</c:v>
                </c:pt>
                <c:pt idx="7">
                  <c:v>2</c:v>
                </c:pt>
                <c:pt idx="8">
                  <c:v>4</c:v>
                </c:pt>
                <c:pt idx="9">
                  <c:v>2</c:v>
                </c:pt>
                <c:pt idx="10">
                  <c:v>5</c:v>
                </c:pt>
              </c:numCache>
            </c:numRef>
          </c:val>
          <c:extLst>
            <c:ext xmlns:c16="http://schemas.microsoft.com/office/drawing/2014/chart" uri="{C3380CC4-5D6E-409C-BE32-E72D297353CC}">
              <c16:uniqueId val="{00000000-EAA6-46AD-A174-EEEFA4221956}"/>
            </c:ext>
          </c:extLst>
        </c:ser>
        <c:ser>
          <c:idx val="1"/>
          <c:order val="1"/>
          <c:tx>
            <c:strRef>
              <c:f>'Defect Statistics Dashboard'!$A$5</c:f>
              <c:strCache>
                <c:ptCount val="1"/>
                <c:pt idx="0">
                  <c:v>Total Open Defects YTD</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'Defect Statistics Dashboard'!$B$1:$M$1</c:f>
              <c:strCache>
                <c:ptCount val="12"/>
                <c:pt idx="0">
                  <c:v>Pre 2016</c:v>
                </c:pt>
                <c:pt idx="1">
                  <c:v>Jan-16</c:v>
                </c:pt>
                <c:pt idx="2">
                  <c:v>Feb-16</c:v>
                </c:pt>
                <c:pt idx="3">
                  <c:v>Mar-16</c:v>
                </c:pt>
                <c:pt idx="4">
                  <c:v>Apr-16</c:v>
                </c:pt>
                <c:pt idx="5">
                  <c:v>May-16</c:v>
                </c:pt>
                <c:pt idx="6">
                  <c:v>Jun-16</c:v>
                </c:pt>
                <c:pt idx="7">
                  <c:v>Jul-16</c:v>
                </c:pt>
                <c:pt idx="8">
                  <c:v>Aug-16</c:v>
                </c:pt>
                <c:pt idx="9">
                  <c:v>Sep-16</c:v>
                </c:pt>
                <c:pt idx="10">
                  <c:v>Oct-16</c:v>
                </c:pt>
                <c:pt idx="11">
                  <c:v>Nov-16</c:v>
                </c:pt>
              </c:strCache>
            </c:strRef>
          </c:cat>
          <c:val>
            <c:numRef>
              <c:f>'Defect Statistics Dashboard'!$B$5:$M$5</c:f>
              <c:numCache>
                <c:formatCode>General</c:formatCode>
                <c:ptCount val="12"/>
                <c:pt idx="0">
                  <c:v>15</c:v>
                </c:pt>
                <c:pt idx="1">
                  <c:v>20</c:v>
                </c:pt>
                <c:pt idx="2">
                  <c:v>24</c:v>
                </c:pt>
                <c:pt idx="3">
                  <c:v>25</c:v>
                </c:pt>
                <c:pt idx="4">
                  <c:v>34</c:v>
                </c:pt>
                <c:pt idx="5">
                  <c:v>37</c:v>
                </c:pt>
                <c:pt idx="6">
                  <c:v>40</c:v>
                </c:pt>
                <c:pt idx="7">
                  <c:v>42</c:v>
                </c:pt>
                <c:pt idx="8">
                  <c:v>46</c:v>
                </c:pt>
                <c:pt idx="9">
                  <c:v>47</c:v>
                </c:pt>
                <c:pt idx="10">
                  <c:v>52</c:v>
                </c:pt>
              </c:numCache>
            </c:numRef>
          </c:val>
          <c:extLst>
            <c:ext xmlns:c16="http://schemas.microsoft.com/office/drawing/2014/chart" uri="{C3380CC4-5D6E-409C-BE32-E72D297353CC}">
              <c16:uniqueId val="{00000001-EAA6-46AD-A174-EEEFA4221956}"/>
            </c:ext>
          </c:extLst>
        </c:ser>
        <c:dLbls>
          <c:dLblPos val="ctr"/>
          <c:showLegendKey val="0"/>
          <c:showVal val="1"/>
          <c:showCatName val="0"/>
          <c:showSerName val="0"/>
          <c:showPercent val="0"/>
          <c:showBubbleSize val="0"/>
        </c:dLbls>
        <c:gapWidth val="121"/>
        <c:axId val="277538760"/>
        <c:axId val="275289400"/>
      </c:barChart>
      <c:valAx>
        <c:axId val="275289400"/>
        <c:scaling>
          <c:orientation val="minMax"/>
        </c:scaling>
        <c:delete val="0"/>
        <c:axPos val="r"/>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7538760"/>
        <c:crosses val="max"/>
        <c:crossBetween val="between"/>
      </c:valAx>
      <c:catAx>
        <c:axId val="2775387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5289400"/>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400" b="1" i="0" u="none" strike="noStrike" baseline="0">
                <a:effectLst/>
              </a:rPr>
              <a:t>Average Age of Defects that were Open Based on Months</a:t>
            </a:r>
          </a:p>
          <a:p>
            <a:pPr>
              <a:defRPr/>
            </a:pPr>
            <a:r>
              <a:rPr lang="en-US" sz="1000" b="0" i="0" u="none" strike="noStrike" baseline="0">
                <a:effectLst/>
              </a:rPr>
              <a:t>The increasing trend is a result of Choice starting to track defects on this sheet while SkyTouch's defect resolution velocity has remained the same. </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lineChart>
        <c:grouping val="standard"/>
        <c:varyColors val="0"/>
        <c:ser>
          <c:idx val="0"/>
          <c:order val="0"/>
          <c:tx>
            <c:strRef>
              <c:f>Dashboard!$G$1</c:f>
              <c:strCache>
                <c:ptCount val="1"/>
                <c:pt idx="0">
                  <c:v>Average Age of Open Defects</c:v>
                </c:pt>
              </c:strCache>
            </c:strRef>
          </c:tx>
          <c:spPr>
            <a:ln w="31750" cap="rnd">
              <a:solidFill>
                <a:schemeClr val="accent2"/>
              </a:solidFill>
              <a:round/>
            </a:ln>
            <a:effectLst/>
          </c:spPr>
          <c:marker>
            <c:symbol val="circle"/>
            <c:size val="17"/>
            <c:spPr>
              <a:solidFill>
                <a:schemeClr val="accent2"/>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Dashboard!$G$2:$T$2</c:f>
              <c:numCache>
                <c:formatCode>[$-409]mmm\-yy;@</c:formatCode>
                <c:ptCount val="14"/>
                <c:pt idx="0">
                  <c:v>42370</c:v>
                </c:pt>
                <c:pt idx="1">
                  <c:v>42401</c:v>
                </c:pt>
                <c:pt idx="2">
                  <c:v>42430</c:v>
                </c:pt>
                <c:pt idx="3">
                  <c:v>42461</c:v>
                </c:pt>
                <c:pt idx="4">
                  <c:v>42491</c:v>
                </c:pt>
                <c:pt idx="5">
                  <c:v>42522</c:v>
                </c:pt>
                <c:pt idx="6">
                  <c:v>42552</c:v>
                </c:pt>
                <c:pt idx="7">
                  <c:v>42583</c:v>
                </c:pt>
                <c:pt idx="8">
                  <c:v>42614</c:v>
                </c:pt>
                <c:pt idx="9">
                  <c:v>42644</c:v>
                </c:pt>
                <c:pt idx="10">
                  <c:v>42675</c:v>
                </c:pt>
                <c:pt idx="11">
                  <c:v>42720</c:v>
                </c:pt>
                <c:pt idx="12">
                  <c:v>42736</c:v>
                </c:pt>
                <c:pt idx="13">
                  <c:v>42783</c:v>
                </c:pt>
              </c:numCache>
            </c:numRef>
          </c:cat>
          <c:val>
            <c:numRef>
              <c:f>Dashboard!$G$3:$T$3</c:f>
              <c:numCache>
                <c:formatCode>0</c:formatCode>
                <c:ptCount val="14"/>
                <c:pt idx="0">
                  <c:v>245.79310344827587</c:v>
                </c:pt>
                <c:pt idx="1">
                  <c:v>236.3235294117647</c:v>
                </c:pt>
                <c:pt idx="2">
                  <c:v>218.95238095238096</c:v>
                </c:pt>
                <c:pt idx="3">
                  <c:v>189.53571428571428</c:v>
                </c:pt>
                <c:pt idx="4">
                  <c:v>200.79032258064515</c:v>
                </c:pt>
                <c:pt idx="5">
                  <c:v>220.55384615384617</c:v>
                </c:pt>
                <c:pt idx="6">
                  <c:v>244.92307692307693</c:v>
                </c:pt>
                <c:pt idx="7">
                  <c:v>273.77777777777777</c:v>
                </c:pt>
                <c:pt idx="8">
                  <c:v>298.39682539682542</c:v>
                </c:pt>
                <c:pt idx="9">
                  <c:v>306.27941176470586</c:v>
                </c:pt>
                <c:pt idx="10">
                  <c:v>312.05797101449275</c:v>
                </c:pt>
                <c:pt idx="11">
                  <c:v>297.41428571428571</c:v>
                </c:pt>
                <c:pt idx="12">
                  <c:v>311.28985507246375</c:v>
                </c:pt>
                <c:pt idx="13">
                  <c:v>337.29411764705884</c:v>
                </c:pt>
              </c:numCache>
            </c:numRef>
          </c:val>
          <c:smooth val="0"/>
          <c:extLst>
            <c:ext xmlns:c16="http://schemas.microsoft.com/office/drawing/2014/chart" uri="{C3380CC4-5D6E-409C-BE32-E72D297353CC}">
              <c16:uniqueId val="{00000000-1FA8-4630-A546-F6668DD56218}"/>
            </c:ext>
          </c:extLst>
        </c:ser>
        <c:dLbls>
          <c:dLblPos val="ctr"/>
          <c:showLegendKey val="0"/>
          <c:showVal val="1"/>
          <c:showCatName val="0"/>
          <c:showSerName val="0"/>
          <c:showPercent val="0"/>
          <c:showBubbleSize val="0"/>
        </c:dLbls>
        <c:marker val="1"/>
        <c:smooth val="0"/>
        <c:axId val="277539544"/>
        <c:axId val="277539936"/>
      </c:lineChart>
      <c:dateAx>
        <c:axId val="277539544"/>
        <c:scaling>
          <c:orientation val="minMax"/>
        </c:scaling>
        <c:delete val="0"/>
        <c:axPos val="b"/>
        <c:title>
          <c:tx>
            <c:rich>
              <a:bodyPr rot="0" spcFirstLastPara="1" vertOverflow="ellipsis" vert="horz" wrap="square" anchor="ctr" anchorCtr="1"/>
              <a:lstStyle/>
              <a:p>
                <a:pPr>
                  <a:defRPr sz="900" b="1" i="0" u="none" strike="noStrike" kern="1200" baseline="0">
                    <a:solidFill>
                      <a:schemeClr val="dk1">
                        <a:lumMod val="75000"/>
                        <a:lumOff val="25000"/>
                      </a:schemeClr>
                    </a:solidFill>
                    <a:latin typeface="+mn-lt"/>
                    <a:ea typeface="+mn-ea"/>
                    <a:cs typeface="+mn-cs"/>
                  </a:defRPr>
                </a:pPr>
                <a:r>
                  <a:rPr lang="en-US"/>
                  <a:t>Month</a:t>
                </a:r>
              </a:p>
            </c:rich>
          </c:tx>
          <c:overlay val="0"/>
          <c:spPr>
            <a:noFill/>
            <a:ln>
              <a:noFill/>
            </a:ln>
            <a:effectLst/>
          </c:spPr>
          <c:txPr>
            <a:bodyPr rot="0" spcFirstLastPara="1" vertOverflow="ellipsis" vert="horz" wrap="square" anchor="ctr" anchorCtr="1"/>
            <a:lstStyle/>
            <a:p>
              <a:pPr>
                <a:defRPr sz="900" b="1" i="0" u="none" strike="noStrike" kern="1200" baseline="0">
                  <a:solidFill>
                    <a:schemeClr val="dk1">
                      <a:lumMod val="75000"/>
                      <a:lumOff val="25000"/>
                    </a:schemeClr>
                  </a:solidFill>
                  <a:latin typeface="+mn-lt"/>
                  <a:ea typeface="+mn-ea"/>
                  <a:cs typeface="+mn-cs"/>
                </a:defRPr>
              </a:pPr>
              <a:endParaRPr lang="en-US"/>
            </a:p>
          </c:txPr>
        </c:title>
        <c:numFmt formatCode="[$-409]mmm\-yy;@"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277539936"/>
        <c:crosses val="autoZero"/>
        <c:auto val="1"/>
        <c:lblOffset val="100"/>
        <c:baseTimeUnit val="months"/>
      </c:dateAx>
      <c:valAx>
        <c:axId val="277539936"/>
        <c:scaling>
          <c:orientation val="minMax"/>
          <c:min val="100"/>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title>
          <c:tx>
            <c:rich>
              <a:bodyPr rot="-5400000" spcFirstLastPara="1" vertOverflow="ellipsis" vert="horz" wrap="square" anchor="ctr" anchorCtr="1"/>
              <a:lstStyle/>
              <a:p>
                <a:pPr>
                  <a:defRPr sz="900" b="1" i="0" u="none" strike="noStrike" kern="1200" baseline="0">
                    <a:solidFill>
                      <a:schemeClr val="dk1">
                        <a:lumMod val="75000"/>
                        <a:lumOff val="25000"/>
                      </a:schemeClr>
                    </a:solidFill>
                    <a:latin typeface="+mn-lt"/>
                    <a:ea typeface="+mn-ea"/>
                    <a:cs typeface="+mn-cs"/>
                  </a:defRPr>
                </a:pPr>
                <a:r>
                  <a:rPr lang="en-US"/>
                  <a:t>Average</a:t>
                </a:r>
                <a:r>
                  <a:rPr lang="en-US" baseline="0"/>
                  <a:t> Age (Day)</a:t>
                </a:r>
                <a:endParaRPr lang="en-US"/>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dk1">
                      <a:lumMod val="75000"/>
                      <a:lumOff val="25000"/>
                    </a:schemeClr>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277539544"/>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137160</xdr:colOff>
      <xdr:row>9</xdr:row>
      <xdr:rowOff>38100</xdr:rowOff>
    </xdr:from>
    <xdr:to>
      <xdr:col>13</xdr:col>
      <xdr:colOff>342900</xdr:colOff>
      <xdr:row>20</xdr:row>
      <xdr:rowOff>137160</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2430780</xdr:colOff>
      <xdr:row>0</xdr:row>
      <xdr:rowOff>45721</xdr:rowOff>
    </xdr:from>
    <xdr:to>
      <xdr:col>3</xdr:col>
      <xdr:colOff>480060</xdr:colOff>
      <xdr:row>2</xdr:row>
      <xdr:rowOff>127861</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2430780" y="45721"/>
          <a:ext cx="1714500" cy="447900"/>
        </a:xfrm>
        <a:prstGeom prst="rect">
          <a:avLst/>
        </a:prstGeom>
      </xdr:spPr>
    </xdr:pic>
    <xdr:clientData/>
  </xdr:twoCellAnchor>
  <xdr:twoCellAnchor>
    <xdr:from>
      <xdr:col>6</xdr:col>
      <xdr:colOff>121920</xdr:colOff>
      <xdr:row>0</xdr:row>
      <xdr:rowOff>30480</xdr:rowOff>
    </xdr:from>
    <xdr:to>
      <xdr:col>14</xdr:col>
      <xdr:colOff>624840</xdr:colOff>
      <xdr:row>21</xdr:row>
      <xdr:rowOff>91440</xdr:rowOff>
    </xdr:to>
    <xdr:graphicFrame macro="">
      <xdr:nvGraphicFramePr>
        <xdr:cNvPr id="4" name="Chart 3">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id="2" name="Age" displayName="Age" ref="A1:X97" totalsRowShown="0">
  <autoFilter ref="A1:X97"/>
  <tableColumns count="24">
    <tableColumn id="1" name="HOS#" dataDxfId="57"/>
    <tableColumn id="22" name="Color Code(To be Hide)" dataDxfId="56"/>
    <tableColumn id="2" name="Date Opened" dataDxfId="55"/>
    <tableColumn id="3" name="Case/SR" dataDxfId="54"/>
    <tableColumn id="21" name="Closed?" dataDxfId="53"/>
    <tableColumn id="4" name="Delivered in" dataDxfId="52"/>
    <tableColumn id="20" name="Delivered/Closed Date" dataDxfId="51"/>
    <tableColumn id="19" name="Age" dataDxfId="50">
      <calculatedColumnFormula>IF(OR(Age[[#This Row],[Closed?]]="Delivered", Age[[#This Row],[Closed?]]="Closed"), Age[[#This Row],[Delivered/Closed Date]]-Age[[#This Row],[Date Opened]], TODAY() - VLOOKUP(A2,'Age Data (Hidden)'!$A:$C,3,FALSE))</calculatedColumnFormula>
    </tableColumn>
    <tableColumn id="18" name="App" dataDxfId="49"/>
    <tableColumn id="5" name="AgePre2016" dataDxfId="48">
      <calculatedColumnFormula>IF($C2&lt;42370,IF($G2&lt;&gt;"", IF($G2&lt;42370,"N/A", IF($G2 &lt;42370,$G2-$C2,42370-$C2)),42370-$C2), "N/A")</calculatedColumnFormula>
    </tableColumn>
    <tableColumn id="6" name="AgeJan2016" dataDxfId="47">
      <calculatedColumnFormula>IF($C2&lt;42401,IF($G2&lt;&gt;"", IF($G2&lt;42370,"N/A", IF($G2 &lt;42401,$G2-$C2,42401-$C2)),42401-$C2), "N/A")</calculatedColumnFormula>
    </tableColumn>
    <tableColumn id="7" name="AgeFeb2016" dataDxfId="46">
      <calculatedColumnFormula>IF($C2&lt;42430,IF($G2&lt;&gt;"", IF($G2&lt;42401,"N/A", IF($G2 &lt;42430,$G2-$C2,42430-$C2)),42430-$C2), "N/A")</calculatedColumnFormula>
    </tableColumn>
    <tableColumn id="8" name="AgeMar2016" dataDxfId="45">
      <calculatedColumnFormula>IF($C2&lt;42461,IF($G2&lt;&gt;"", IF($G2&lt;42430,"N/A", IF($G2 &lt;42461,$G2-$C2,42461-$C2)),42461-$C2), "N/A")</calculatedColumnFormula>
    </tableColumn>
    <tableColumn id="9" name="AgeApr2016" dataDxfId="44">
      <calculatedColumnFormula>IF($C2&lt;42491,IF($G2&lt;&gt;"", IF($G2&lt;42461,"N/A", IF($G2 &lt;42491,$G2-$C2,42491-$C2)),42491-$C2), "N/A")</calculatedColumnFormula>
    </tableColumn>
    <tableColumn id="10" name="AgeMay2016" dataDxfId="43">
      <calculatedColumnFormula>IF($C2&lt;42522,IF($G2&lt;&gt;"", IF($G2&lt;42491,"N/A", IF($G2 &lt;42522,$G2-$C2,42522-$C2)),42522-$C2), "N/A")</calculatedColumnFormula>
    </tableColumn>
    <tableColumn id="11" name="AgeJun2016" dataDxfId="42">
      <calculatedColumnFormula>IF($C2&lt;42552,IF($G2&lt;&gt;"", IF($G2&lt;42522,"N/A", IF($G2 &lt;42552,$G2-$C2,42552-$C2)),42552-$C2), "N/A")</calculatedColumnFormula>
    </tableColumn>
    <tableColumn id="12" name="AgeJuly2016" dataDxfId="41">
      <calculatedColumnFormula>IF($C2&lt;42583,IF($G2&lt;&gt;"", IF($G2&lt;42552,"N/A", IF($G2 &lt;42583,$G2-$C2,42583-$C2)),42583-$C2), "N/A")</calculatedColumnFormula>
    </tableColumn>
    <tableColumn id="13" name="AgeAug2016" dataDxfId="40">
      <calculatedColumnFormula>IF($C2&lt;42614,IF($G2&lt;&gt;"", IF($G2&lt;42583,"N/A", IF($G2 &lt;42614,$G2-$C2,42614-$C2)),42614-$C2), "N/A")</calculatedColumnFormula>
    </tableColumn>
    <tableColumn id="14" name="AgeSept2016" dataDxfId="39">
      <calculatedColumnFormula>IF($C2&lt;42644,IF($G2&lt;&gt;"", IF($G2&lt;42614,"N/A", IF($G2 &lt;42644,$G2-$C2,42644-$C2)),42644-$C2), "N/A")</calculatedColumnFormula>
    </tableColumn>
    <tableColumn id="15" name="AgeOct2016" dataDxfId="38">
      <calculatedColumnFormula>IF($C2&lt;42675,IF($G2&lt;&gt;"", IF($G2&lt;42644,"N/A", IF($G2 &lt;42675,$G2-$C2,42675-$C2)),42675-$C2), "N/A")</calculatedColumnFormula>
    </tableColumn>
    <tableColumn id="16" name="AgeNov2016" dataDxfId="37">
      <calculatedColumnFormula>IF($C2&lt;42705,IF($G2&lt;&gt;"", IF($G2&lt;42675,"N/A", IF($G2 &lt;42705,$G2-$C2,42705-$C2)),42705-$C2), "N/A")</calculatedColumnFormula>
    </tableColumn>
    <tableColumn id="17" name="AgeDec2016" dataDxfId="36">
      <calculatedColumnFormula>IF($C2&lt;42736,IF($G2&lt;&gt;"", IF($G2&lt;42705,"N/A", IF($G2 &lt;42736,$G2-$C2,42736-$C2)),42736-$C2), "N/A")</calculatedColumnFormula>
    </tableColumn>
    <tableColumn id="23" name="AgeJan2017" dataDxfId="35">
      <calculatedColumnFormula>IF($C2&lt;42767,IF($G2&lt;&gt;"", IF($G2&lt;42736,"N/A", IF($G2 &lt;42767,$G2-$C2,42767-$C2)),42767-$C2), "N/A")</calculatedColumnFormula>
    </tableColumn>
    <tableColumn id="24" name="AgeFeb2017" dataDxfId="34">
      <calculatedColumnFormula>IF($C2&lt;42795,IF($G2&lt;&gt;"", IF($G2&lt;42767,"N/A", IF($G2 &lt;42795,$G2-$C2,42795-$C2)),TODAY()-$C2), "N/A")</calculatedColumnFormula>
    </tableColumn>
  </tableColumns>
  <tableStyleInfo name="TableStyleMedium2" showFirstColumn="0" showLastColumn="0" showRowStripes="1" showColumnStripes="0"/>
</table>
</file>

<file path=xl/tables/table2.xml><?xml version="1.0" encoding="utf-8"?>
<table xmlns="http://schemas.openxmlformats.org/spreadsheetml/2006/main" id="1" name="Table1" displayName="Table1" ref="A6:S75" totalsRowShown="0" headerRowDxfId="33" dataDxfId="32">
  <autoFilter ref="A6:S75"/>
  <sortState ref="A7:S75">
    <sortCondition sortBy="cellColor" ref="A6:A75" dxfId="1"/>
  </sortState>
  <tableColumns count="19">
    <tableColumn id="12" name="#" dataDxfId="30"/>
    <tableColumn id="4" name="ST Jira HOS#" dataDxfId="29"/>
    <tableColumn id="1" name="App" dataDxfId="28"/>
    <tableColumn id="2" name="Problem" dataDxfId="27"/>
    <tableColumn id="3" name="Impact - Qualitative" dataDxfId="26"/>
    <tableColumn id="7" name="Work around?" dataDxfId="25"/>
    <tableColumn id="10" name="Recaps?" dataDxfId="24"/>
    <tableColumn id="14" name="Number of properties" dataDxfId="23"/>
    <tableColumn id="15" name="GRR Impact" dataDxfId="22"/>
    <tableColumn id="16" name="Upscale Impact" dataDxfId="21"/>
    <tableColumn id="17" name="Guest Satisfaction Impact" dataDxfId="20"/>
    <tableColumn id="20" name="Program/Function Dependency" dataDxfId="19"/>
    <tableColumn id="21" name="Repeating Problem" dataDxfId="18"/>
    <tableColumn id="18" name="Choice Prioritization Rank" dataDxfId="17">
      <calculatedColumnFormula>VLOOKUP(Table1[ST Jira HOS'#], Calc[], 10, FALSE)</calculatedColumnFormula>
    </tableColumn>
    <tableColumn id="8" name="Age (days)" dataDxfId="16">
      <calculatedColumnFormula>TODAY() - VLOOKUP(B7,'Age Data (Hidden)'!$A:$C,3,FALSE)</calculatedColumnFormula>
    </tableColumn>
    <tableColumn id="9" name="Status" dataDxfId="15"/>
    <tableColumn id="11" name="Impacting Business Unit" dataDxfId="14"/>
    <tableColumn id="5" name="Initiative_x000a_Impacted" dataDxfId="13"/>
    <tableColumn id="6" name="BO" dataDxfId="12"/>
  </tableColumns>
  <tableStyleInfo name="TableStyleMedium2" showFirstColumn="0" showLastColumn="0" showRowStripes="1" showColumnStripes="0"/>
</table>
</file>

<file path=xl/tables/table3.xml><?xml version="1.0" encoding="utf-8"?>
<table xmlns="http://schemas.openxmlformats.org/spreadsheetml/2006/main" id="3" name="Calc" displayName="Calc" ref="A1:J75" totalsRowShown="0" headerRowDxfId="11">
  <autoFilter ref="A1:J75"/>
  <tableColumns count="10">
    <tableColumn id="1" name="ST Jira HOS#">
      <calculatedColumnFormula>'Open Defects'!B7</calculatedColumnFormula>
    </tableColumn>
    <tableColumn id="3" name="Work around?">
      <calculatedColumnFormula>IF(COUNTIFS(Table1[ST Jira HOS'#],A2,Table1[Work around?], 'Prioritization Scoring Weights'!$A$3), 'Prioritization Scoring Weights'!$C$3,0)</calculatedColumnFormula>
    </tableColumn>
    <tableColumn id="4" name="Number of property">
      <calculatedColumnFormula>IF(COUNTIFS(Table1[ST Jira HOS'#],A2, Table1[Number of properties], 'Prioritization Scoring Weights'!$A$7), 'Prioritization Scoring Weights'!$C$7, IF(COUNTIFS(Table1[ST Jira HOS'#],A2, Table1[Number of properties], 'Prioritization Scoring Weights'!$A$8), 'Prioritization Scoring Weights'!$C$8, IF(COUNTIFS(Table1[ST Jira HOS'#], A2, Table1[Number of properties], 'Prioritization Scoring Weights'!$A$9), 'Prioritization Scoring Weights'!$C$9, 0)))</calculatedColumnFormula>
    </tableColumn>
    <tableColumn id="5" name="GRR Impact">
      <calculatedColumnFormula>IF(COUNTIFS(Table1[ST Jira HOS'#],A2, Table1[GRR Impact], 'Prioritization Scoring Weights'!$A$12), 'Prioritization Scoring Weights'!$C$12, IF(COUNTIFS(Table1[ST Jira HOS'#], A2, Table1[GRR Impact], 'Prioritization Scoring Weights'!$A$13), 'Prioritization Scoring Weights'!$C$13, IF(COUNTIFS(Table1[ST Jira HOS'#], A2, Table1[GRR Impact], 'Prioritization Scoring Weights'!$A$14), 'Prioritization Scoring Weights'!$C$14, 0)))</calculatedColumnFormula>
    </tableColumn>
    <tableColumn id="6" name="Upscale Impact">
      <calculatedColumnFormula>IF(COUNTIFS(Table1[ST Jira HOS'#], A2,Table1[Upscale Impact], 'Prioritization Scoring Weights'!$A$17), 'Prioritization Scoring Weights'!$C$17,0)</calculatedColumnFormula>
    </tableColumn>
    <tableColumn id="7" name="Guest Satisfaction Impact">
      <calculatedColumnFormula>IF(COUNTIFS(Table1[ST Jira HOS'#], A2, Table1[Guest Satisfaction Impact], 'Prioritization Scoring Weights'!$A$20), 'Prioritization Scoring Weights'!$C$20, IF(COUNTIFS(Table1[ST Jira HOS'#],A2, Table1[Guest Satisfaction Impact], 'Prioritization Scoring Weights'!$A$21), 'Prioritization Scoring Weights'!$C$21, IF(COUNTIFS(Table1[ST Jira HOS'#], A2, Table1[Guest Satisfaction Impact], 'Prioritization Scoring Weights'!$A$22), 'Prioritization Scoring Weights'!$C$22, 0)))</calculatedColumnFormula>
    </tableColumn>
    <tableColumn id="2" name="Program Dependency" dataDxfId="10">
      <calculatedColumnFormula>IF(COUNTIFS(Table1[ST Jira HOS'#], A2,Table1[Program/Function Dependency], 'Prioritization Scoring Weights'!$A$25), 'Prioritization Scoring Weights'!$C$25,0)</calculatedColumnFormula>
    </tableColumn>
    <tableColumn id="8" name="Repeating Problem" dataDxfId="9">
      <calculatedColumnFormula>IF(COUNTIFS(Table1[ST Jira HOS'#], A2,Table1[Repeating Problem], 'Prioritization Scoring Weights'!$A$28), 'Prioritization Scoring Weights'!$C$28,0)</calculatedColumnFormula>
    </tableColumn>
    <tableColumn id="9" name="Total" dataDxfId="8">
      <calculatedColumnFormula>SUM(B2,C2,D2,E2,F2, Calc[[#This Row],[Program Dependency]], Calc[[#This Row],[Repeating Problem]])</calculatedColumnFormula>
    </tableColumn>
    <tableColumn id="11" name="CHI Rank">
      <calculatedColumnFormula>IF(I2&gt;='Prioritization Scoring Weights'!$B$37,'Prioritization Scoring Weights'!$C$37,IF(I2&gt;='Prioritization Scoring Weights'!$B$36,'Prioritization Scoring Weights'!$C$36,IF(I2&gt;='Prioritization Scoring Weights'!$B$35,'Prioritization Scoring Weights'!$C$35,IF(I2&gt;='Prioritization Scoring Weights'!$B$34,'Prioritization Scoring Weights'!$C$34,'Prioritization Scoring Weights'!$C$33))))</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E7"/>
  <sheetViews>
    <sheetView workbookViewId="0">
      <selection activeCell="E7" sqref="E7"/>
    </sheetView>
  </sheetViews>
  <sheetFormatPr defaultRowHeight="14.4" x14ac:dyDescent="0.3"/>
  <cols>
    <col min="2" max="2" width="10.109375" bestFit="1" customWidth="1"/>
    <col min="5" max="5" width="19.44140625" bestFit="1" customWidth="1"/>
  </cols>
  <sheetData>
    <row r="2" spans="2:5" x14ac:dyDescent="0.3">
      <c r="B2" t="s">
        <v>236</v>
      </c>
      <c r="C2" t="s">
        <v>10</v>
      </c>
      <c r="D2" t="s">
        <v>20</v>
      </c>
      <c r="E2" t="s">
        <v>254</v>
      </c>
    </row>
    <row r="3" spans="2:5" x14ac:dyDescent="0.3">
      <c r="B3" t="s">
        <v>237</v>
      </c>
      <c r="C3" t="s">
        <v>220</v>
      </c>
      <c r="D3" t="s">
        <v>2</v>
      </c>
      <c r="E3" t="s">
        <v>255</v>
      </c>
    </row>
    <row r="4" spans="2:5" x14ac:dyDescent="0.3">
      <c r="B4" t="s">
        <v>238</v>
      </c>
      <c r="C4" t="s">
        <v>222</v>
      </c>
      <c r="D4" t="s">
        <v>3</v>
      </c>
      <c r="E4" t="s">
        <v>30</v>
      </c>
    </row>
    <row r="5" spans="2:5" x14ac:dyDescent="0.3">
      <c r="B5" t="s">
        <v>239</v>
      </c>
      <c r="C5" t="s">
        <v>150</v>
      </c>
      <c r="D5" t="s">
        <v>154</v>
      </c>
      <c r="E5" s="77" t="s">
        <v>246</v>
      </c>
    </row>
    <row r="6" spans="2:5" x14ac:dyDescent="0.3">
      <c r="E6" t="s">
        <v>126</v>
      </c>
    </row>
    <row r="7" spans="2:5" x14ac:dyDescent="0.3">
      <c r="E7" t="s">
        <v>256</v>
      </c>
    </row>
  </sheetData>
  <sheetProtection algorithmName="SHA-512" hashValue="dJ3BLUAk8CRZvkdFeP5jCh0x/8zJ4vUbGk9qTDBMklcN5rjRi/ILQ/KIbq5QwUM7b/owavz5N1AzIUqXMrQ7/A==" saltValue="uThN6BrIvKuQygou1NLpew==" spinCount="100000"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N10"/>
  <sheetViews>
    <sheetView workbookViewId="0">
      <selection activeCell="Q10" sqref="Q10"/>
    </sheetView>
  </sheetViews>
  <sheetFormatPr defaultRowHeight="14.4" x14ac:dyDescent="0.3"/>
  <cols>
    <col min="1" max="1" width="39.109375" bestFit="1" customWidth="1"/>
    <col min="3" max="3" width="8" bestFit="1" customWidth="1"/>
    <col min="4" max="4" width="6.5546875" bestFit="1" customWidth="1"/>
    <col min="5" max="5" width="8.109375" bestFit="1" customWidth="1"/>
    <col min="6" max="6" width="6.33203125" bestFit="1" customWidth="1"/>
    <col min="7" max="7" width="7.21875" bestFit="1" customWidth="1"/>
    <col min="8" max="8" width="7" bestFit="1" customWidth="1"/>
    <col min="9" max="9" width="6.44140625" bestFit="1" customWidth="1"/>
    <col min="10" max="10" width="7.21875" bestFit="1" customWidth="1"/>
    <col min="11" max="11" width="6.33203125" bestFit="1" customWidth="1"/>
    <col min="12" max="12" width="6.5546875" bestFit="1" customWidth="1"/>
    <col min="13" max="13" width="7" bestFit="1" customWidth="1"/>
    <col min="14" max="15" width="6.5546875" bestFit="1" customWidth="1"/>
    <col min="16" max="16" width="7" bestFit="1" customWidth="1"/>
    <col min="17" max="17" width="6.77734375" bestFit="1" customWidth="1"/>
  </cols>
  <sheetData>
    <row r="1" spans="1:14" x14ac:dyDescent="0.3">
      <c r="B1" t="s">
        <v>221</v>
      </c>
      <c r="C1" s="53">
        <v>42370</v>
      </c>
      <c r="D1" s="53">
        <v>42401</v>
      </c>
      <c r="E1" s="53">
        <v>42430</v>
      </c>
      <c r="F1" s="53">
        <v>42461</v>
      </c>
      <c r="G1" s="53">
        <v>42491</v>
      </c>
      <c r="H1" s="53">
        <v>42522</v>
      </c>
      <c r="I1" s="53">
        <v>42552</v>
      </c>
      <c r="J1" s="53">
        <v>42583</v>
      </c>
      <c r="K1" s="53">
        <v>42614</v>
      </c>
      <c r="L1" s="53">
        <v>42644</v>
      </c>
      <c r="M1" s="53">
        <v>42675</v>
      </c>
      <c r="N1" s="53">
        <v>42705</v>
      </c>
    </row>
    <row r="2" spans="1:14" x14ac:dyDescent="0.3">
      <c r="A2" t="s">
        <v>233</v>
      </c>
      <c r="B2">
        <f>COUNTIFS(Age[Date Opened], "&lt;1/1/2016")-COUNTIF(Age[Date Opened], "")</f>
        <v>22</v>
      </c>
      <c r="C2">
        <f>COUNTIFS(Age[Date Opened], "&gt;=1/1/2016", Age[Date Opened], "&lt;=1/31/2016")</f>
        <v>5</v>
      </c>
      <c r="D2">
        <f>COUNTIFS(Age[Date Opened], "&gt;=2/1/2016", Age[Date Opened], "&lt;=2/29/2016")</f>
        <v>5</v>
      </c>
      <c r="E2">
        <f>COUNTIFS(Age[Date Opened], "&gt;=3/1/2016", Age[Date Opened], "&lt;=3/31/2016")</f>
        <v>8</v>
      </c>
      <c r="F2">
        <f>COUNTIFS(Age[Date Opened], "&gt;=4/1/2016", Age[Date Opened], "&lt;=4/30/2016")</f>
        <v>14</v>
      </c>
      <c r="G2">
        <f>COUNTIFS(Age[Date Opened], "&gt;=5/1/2016", Age[Date Opened], "&lt;=5/31/2016")</f>
        <v>6</v>
      </c>
      <c r="H2">
        <f>COUNTIFS(Age[Date Opened], "&gt;=6/1/2016", Age[Date Opened], "&lt;=6/30/2016")</f>
        <v>3</v>
      </c>
      <c r="I2">
        <f>COUNTIFS(Age[Date Opened], "&gt;=7/1/2016", Age[Date Opened], "&lt;=7/31/2016")</f>
        <v>2</v>
      </c>
      <c r="J2">
        <f>COUNTIFS(Age[Date Opened], "&gt;=8/1/2016", Age[Date Opened], "&lt;=8/31/2016")</f>
        <v>4</v>
      </c>
      <c r="K2">
        <f>COUNTIFS(Age[Date Opened], "&gt;=9/1/2016", Age[Date Opened], "&lt;=9/30/2016")</f>
        <v>2</v>
      </c>
      <c r="L2">
        <f>COUNTIFS(Age[Date Opened], "&gt;=10/1/2016", Age[Date Opened], "&lt;=10/31/2016")</f>
        <v>5</v>
      </c>
    </row>
    <row r="3" spans="1:14" x14ac:dyDescent="0.3">
      <c r="A3" t="s">
        <v>218</v>
      </c>
      <c r="B3">
        <f>B2+COUNTIF(Age[Date Opened], "")</f>
        <v>24</v>
      </c>
      <c r="C3">
        <f>SUM(B3,C2)</f>
        <v>29</v>
      </c>
      <c r="D3">
        <f t="shared" ref="D3:L3" si="0">SUM(C3,D2)</f>
        <v>34</v>
      </c>
      <c r="E3">
        <f t="shared" si="0"/>
        <v>42</v>
      </c>
      <c r="F3">
        <f t="shared" si="0"/>
        <v>56</v>
      </c>
      <c r="G3">
        <f t="shared" si="0"/>
        <v>62</v>
      </c>
      <c r="H3">
        <f t="shared" si="0"/>
        <v>65</v>
      </c>
      <c r="I3">
        <f t="shared" si="0"/>
        <v>67</v>
      </c>
      <c r="J3">
        <f t="shared" si="0"/>
        <v>71</v>
      </c>
      <c r="K3">
        <f t="shared" si="0"/>
        <v>73</v>
      </c>
      <c r="L3">
        <f t="shared" si="0"/>
        <v>78</v>
      </c>
    </row>
    <row r="4" spans="1:14" s="56" customFormat="1" x14ac:dyDescent="0.3">
      <c r="A4" s="56" t="s">
        <v>225</v>
      </c>
      <c r="B4" s="56">
        <f>COUNTIFS(Age[Closed?], "Open", Age[Date Opened], "&lt;=1/1/2016")</f>
        <v>15</v>
      </c>
      <c r="C4" s="56">
        <f>COUNTIFS(Age[Closed?], "Open",Age[Date Opened], "&gt;=1/1/2016", Age[Date Opened], "&lt;=1/31/2016")</f>
        <v>5</v>
      </c>
      <c r="D4" s="56">
        <f>COUNTIFS(Age[Closed?], "Open", Age[Date Opened], "&gt;=2/1/2016", Age[Date Opened], "&lt;=2/29/2016")</f>
        <v>4</v>
      </c>
      <c r="E4" s="56">
        <f>COUNTIFS(Age[Closed?], "Open", Age[Date Opened], "&gt;=3/1/2016", Age[Date Opened], "&lt;=3/31/2016")</f>
        <v>1</v>
      </c>
      <c r="F4" s="56">
        <f>COUNTIFS(Age[Closed?], "Open", Age[Date Opened], "&gt;=4/1/2016", Age[Date Opened], "&lt;=4/30/2016")</f>
        <v>9</v>
      </c>
      <c r="G4" s="56">
        <f>COUNTIFS(Age[Closed?], "Open", Age[Date Opened], "&gt;=5/1/2016", Age[Date Opened], "&lt;=5/31/2016")</f>
        <v>3</v>
      </c>
      <c r="H4" s="56">
        <f>COUNTIFS(Age[Closed?], "Open", Age[Date Opened], "&gt;=6/1/2016", Age[Date Opened], "&lt;=6/30/2016")</f>
        <v>3</v>
      </c>
      <c r="I4" s="56">
        <f>COUNTIFS(Age[Closed?], "Open", Age[Date Opened], "&gt;=7/1/2016", Age[Date Opened], "&lt;=7/31/2016")</f>
        <v>2</v>
      </c>
      <c r="J4" s="56">
        <f>COUNTIFS(Age[Closed?], "Open", Age[Date Opened], "&gt;=8/1/2016", Age[Date Opened], "&lt;=8/31/2016")</f>
        <v>4</v>
      </c>
      <c r="K4" s="56">
        <f>COUNTIFS(Age[Closed?], "Open", Age[Date Opened], "&gt;=9/1/2016", Age[Date Opened], "&lt;=9/30/2016")</f>
        <v>1</v>
      </c>
      <c r="L4" s="56">
        <f>COUNTIFS(Age[Closed?], "Open", Age[Date Opened], "&gt;=10/1/2016", Age[Date Opened], "&lt;=10/31/2016")</f>
        <v>5</v>
      </c>
    </row>
    <row r="5" spans="1:14" s="56" customFormat="1" x14ac:dyDescent="0.3">
      <c r="A5" s="56" t="s">
        <v>226</v>
      </c>
      <c r="B5" s="56">
        <f>B4+0</f>
        <v>15</v>
      </c>
      <c r="C5" s="56">
        <f>B5+C4</f>
        <v>20</v>
      </c>
      <c r="D5" s="56">
        <f t="shared" ref="D5:F5" si="1">C5+D4</f>
        <v>24</v>
      </c>
      <c r="E5" s="56">
        <f t="shared" si="1"/>
        <v>25</v>
      </c>
      <c r="F5" s="56">
        <f t="shared" si="1"/>
        <v>34</v>
      </c>
      <c r="G5" s="56">
        <f t="shared" ref="G5" si="2">F5+G4</f>
        <v>37</v>
      </c>
      <c r="H5" s="56">
        <f t="shared" ref="H5" si="3">G5+H4</f>
        <v>40</v>
      </c>
      <c r="I5" s="56">
        <f t="shared" ref="I5" si="4">H5+I4</f>
        <v>42</v>
      </c>
      <c r="J5" s="56">
        <f t="shared" ref="J5" si="5">I5+J4</f>
        <v>46</v>
      </c>
      <c r="K5" s="56">
        <f t="shared" ref="K5" si="6">J5+K4</f>
        <v>47</v>
      </c>
      <c r="L5" s="56">
        <f t="shared" ref="L5" si="7">K5+L4</f>
        <v>52</v>
      </c>
    </row>
    <row r="6" spans="1:14" s="56" customFormat="1" x14ac:dyDescent="0.3"/>
    <row r="8" spans="1:14" x14ac:dyDescent="0.3">
      <c r="A8" s="63"/>
      <c r="B8" s="63"/>
    </row>
    <row r="9" spans="1:14" x14ac:dyDescent="0.3">
      <c r="A9" s="63"/>
      <c r="B9" s="64"/>
    </row>
    <row r="10" spans="1:14" x14ac:dyDescent="0.3">
      <c r="A10" s="63"/>
      <c r="B10" s="64"/>
    </row>
  </sheetData>
  <sheetProtection algorithmName="SHA-512" hashValue="vxp/CQGF9xZB9WU15G+gLy08nx1/KmhWItXTs5UO77rtIAHwwJG6rpJJoTxx+xhB7HgFKjaLwhxQK2zlps6uqQ==" saltValue="DRRGOqmnOSh1N4VeZpj1EA==" spinCount="100000" sheet="1" objects="1" scenarios="1"/>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F217"/>
  <sheetViews>
    <sheetView topLeftCell="A42" workbookViewId="0">
      <selection activeCell="B55" sqref="B55"/>
    </sheetView>
  </sheetViews>
  <sheetFormatPr defaultRowHeight="14.4" x14ac:dyDescent="0.3"/>
  <cols>
    <col min="1" max="1" width="11" style="8" bestFit="1" customWidth="1"/>
    <col min="2" max="2" width="10.109375" style="8" customWidth="1"/>
    <col min="3" max="3" width="14.21875" style="15" bestFit="1" customWidth="1"/>
    <col min="4" max="4" width="10.109375" style="15" bestFit="1" customWidth="1"/>
    <col min="5" max="5" width="9.6640625" style="15" bestFit="1" customWidth="1"/>
    <col min="6" max="6" width="13.109375" style="15" bestFit="1" customWidth="1"/>
    <col min="7" max="7" width="10.88671875" style="8" bestFit="1" customWidth="1"/>
    <col min="8" max="8" width="11.33203125" style="8" bestFit="1" customWidth="1"/>
    <col min="9" max="9" width="6.6640625" style="8" bestFit="1" customWidth="1"/>
    <col min="10" max="11" width="11" style="8" bestFit="1" customWidth="1"/>
    <col min="12" max="12" width="11.5546875" style="8" bestFit="1" customWidth="1"/>
    <col min="13" max="13" width="10.88671875" style="8" bestFit="1" customWidth="1"/>
    <col min="14" max="14" width="11.33203125" style="8" bestFit="1" customWidth="1"/>
    <col min="15" max="15" width="12.109375" style="8" bestFit="1" customWidth="1"/>
    <col min="16" max="23" width="8.88671875" style="8"/>
    <col min="24" max="25" width="9.5546875" style="8" bestFit="1" customWidth="1"/>
    <col min="26" max="28" width="9.5546875" style="8" customWidth="1"/>
    <col min="29" max="30" width="8.88671875" style="8"/>
    <col min="31" max="31" width="9.5546875" style="8" bestFit="1" customWidth="1"/>
    <col min="32" max="32" width="6" style="8" bestFit="1" customWidth="1"/>
    <col min="33" max="16384" width="8.88671875" style="8"/>
  </cols>
  <sheetData>
    <row r="1" spans="1:32" x14ac:dyDescent="0.3">
      <c r="A1" s="8" t="s">
        <v>66</v>
      </c>
      <c r="B1" s="8" t="s">
        <v>235</v>
      </c>
      <c r="C1" s="15" t="s">
        <v>59</v>
      </c>
      <c r="D1" s="15" t="s">
        <v>136</v>
      </c>
      <c r="E1" s="15" t="s">
        <v>219</v>
      </c>
      <c r="F1" s="15" t="s">
        <v>227</v>
      </c>
      <c r="G1" s="15" t="s">
        <v>224</v>
      </c>
      <c r="H1" s="15" t="s">
        <v>217</v>
      </c>
      <c r="I1" s="15" t="s">
        <v>20</v>
      </c>
      <c r="J1" s="8" t="s">
        <v>202</v>
      </c>
      <c r="K1" s="8" t="s">
        <v>203</v>
      </c>
      <c r="L1" s="8" t="s">
        <v>204</v>
      </c>
      <c r="M1" s="8" t="s">
        <v>205</v>
      </c>
      <c r="N1" s="8" t="s">
        <v>206</v>
      </c>
      <c r="O1" s="8" t="s">
        <v>207</v>
      </c>
      <c r="P1" s="8" t="s">
        <v>208</v>
      </c>
      <c r="Q1" s="8" t="s">
        <v>209</v>
      </c>
      <c r="R1" s="8" t="s">
        <v>210</v>
      </c>
      <c r="S1" s="8" t="s">
        <v>211</v>
      </c>
      <c r="T1" s="8" t="s">
        <v>212</v>
      </c>
      <c r="U1" s="8" t="s">
        <v>213</v>
      </c>
      <c r="V1" s="8" t="s">
        <v>214</v>
      </c>
      <c r="W1" s="8" t="s">
        <v>356</v>
      </c>
      <c r="X1" s="8" t="s">
        <v>357</v>
      </c>
    </row>
    <row r="2" spans="1:32" x14ac:dyDescent="0.3">
      <c r="A2" s="8" t="s">
        <v>1</v>
      </c>
      <c r="C2" s="15">
        <v>42423</v>
      </c>
      <c r="D2" s="23"/>
      <c r="E2" s="23" t="s">
        <v>150</v>
      </c>
      <c r="F2" s="23" t="s">
        <v>241</v>
      </c>
      <c r="G2" s="15">
        <v>42604</v>
      </c>
      <c r="H2" s="23">
        <f ca="1">IF(OR(Age[[#This Row],[Closed?]]="Delivered", Age[[#This Row],[Closed?]]="Closed"), Age[[#This Row],[Delivered/Closed Date]]-Age[[#This Row],[Date Opened]], TODAY() - VLOOKUP(A2,'Age Data (Hidden)'!$A:$C,3,FALSE))</f>
        <v>181</v>
      </c>
      <c r="I2" s="23" t="s">
        <v>2</v>
      </c>
      <c r="J2" s="8" t="str">
        <f t="shared" ref="J2:J33" si="0">IF($C2&lt;42370,IF($G2&lt;&gt;"", IF($G2&lt;42370,"N/A", IF($G2 &lt;42370,$G2-$C2,42370-$C2)),42370-$C2), "N/A")</f>
        <v>N/A</v>
      </c>
      <c r="K2" s="8" t="str">
        <f t="shared" ref="K2:K33" si="1">IF($C2&lt;42401,IF($G2&lt;&gt;"", IF($G2&lt;42370,"N/A", IF($G2 &lt;42401,$G2-$C2,42401-$C2)),42401-$C2), "N/A")</f>
        <v>N/A</v>
      </c>
      <c r="L2" s="8">
        <f t="shared" ref="L2:L33" si="2">IF($C2&lt;42430,IF($G2&lt;&gt;"", IF($G2&lt;42401,"N/A", IF($G2 &lt;42430,$G2-$C2,42430-$C2)),42430-$C2), "N/A")</f>
        <v>7</v>
      </c>
      <c r="M2" s="8">
        <f t="shared" ref="M2:M33" si="3">IF($C2&lt;42461,IF($G2&lt;&gt;"", IF($G2&lt;42430,"N/A", IF($G2 &lt;42461,$G2-$C2,42461-$C2)),42461-$C2), "N/A")</f>
        <v>38</v>
      </c>
      <c r="N2" s="8">
        <f t="shared" ref="N2:N33" si="4">IF($C2&lt;42491,IF($G2&lt;&gt;"", IF($G2&lt;42461,"N/A", IF($G2 &lt;42491,$G2-$C2,42491-$C2)),42491-$C2), "N/A")</f>
        <v>68</v>
      </c>
      <c r="O2" s="8">
        <f t="shared" ref="O2:O33" si="5">IF($C2&lt;42522,IF($G2&lt;&gt;"", IF($G2&lt;42491,"N/A", IF($G2 &lt;42522,$G2-$C2,42522-$C2)),42522-$C2), "N/A")</f>
        <v>99</v>
      </c>
      <c r="P2" s="8">
        <f t="shared" ref="P2:P33" si="6">IF($C2&lt;42552,IF($G2&lt;&gt;"", IF($G2&lt;42522,"N/A", IF($G2 &lt;42552,$G2-$C2,42552-$C2)),42552-$C2), "N/A")</f>
        <v>129</v>
      </c>
      <c r="Q2" s="8">
        <f t="shared" ref="Q2:Q33" si="7">IF($C2&lt;42583,IF($G2&lt;&gt;"", IF($G2&lt;42552,"N/A", IF($G2 &lt;42583,$G2-$C2,42583-$C2)),42583-$C2), "N/A")</f>
        <v>160</v>
      </c>
      <c r="R2" s="8">
        <f t="shared" ref="R2:R33" si="8">IF($C2&lt;42614,IF($G2&lt;&gt;"", IF($G2&lt;42583,"N/A", IF($G2 &lt;42614,$G2-$C2,42614-$C2)),42614-$C2), "N/A")</f>
        <v>181</v>
      </c>
      <c r="S2" s="8" t="str">
        <f t="shared" ref="S2:S33" si="9">IF($C2&lt;42644,IF($G2&lt;&gt;"", IF($G2&lt;42614,"N/A", IF($G2 &lt;42644,$G2-$C2,42644-$C2)),42644-$C2), "N/A")</f>
        <v>N/A</v>
      </c>
      <c r="T2" s="8" t="str">
        <f t="shared" ref="T2:T33" si="10">IF($C2&lt;42675,IF($G2&lt;&gt;"", IF($G2&lt;42644,"N/A", IF($G2 &lt;42675,$G2-$C2,42675-$C2)),42675-$C2), "N/A")</f>
        <v>N/A</v>
      </c>
      <c r="U2" s="8" t="str">
        <f t="shared" ref="U2:U33" si="11">IF($C2&lt;42705,IF($G2&lt;&gt;"", IF($G2&lt;42675,"N/A", IF($G2 &lt;42705,$G2-$C2,42705-$C2)),42705-$C2), "N/A")</f>
        <v>N/A</v>
      </c>
      <c r="V2" s="8" t="str">
        <f t="shared" ref="V2:V33" si="12">IF($C2&lt;42736,IF($G2&lt;&gt;"", IF($G2&lt;42705,"N/A", IF($G2 &lt;42736,$G2-$C2,42736-$C2)),42736-$C2), "N/A")</f>
        <v>N/A</v>
      </c>
      <c r="W2" s="103" t="str">
        <f>IF($C2&lt;42767,IF($G2&lt;&gt;"", IF($G2&lt;42736,"N/A", IF($G2 &lt;42767,$G2-$C2,42767-$C2)),42767-$C2), "N/A")</f>
        <v>N/A</v>
      </c>
      <c r="X2" s="103" t="str">
        <f ca="1">IF($C2&lt;42795,IF($G2&lt;&gt;"", IF($G2&lt;42767,"N/A", IF($G2 &lt;42795,$G2-$C2,42795-$C2)),TODAY()-$C2), "N/A")</f>
        <v>N/A</v>
      </c>
    </row>
    <row r="3" spans="1:32" x14ac:dyDescent="0.3">
      <c r="A3" s="8" t="s">
        <v>4</v>
      </c>
      <c r="C3" s="15">
        <v>42389</v>
      </c>
      <c r="D3" s="23"/>
      <c r="E3" s="23" t="s">
        <v>220</v>
      </c>
      <c r="F3" s="23"/>
      <c r="G3" s="15"/>
      <c r="H3" s="23">
        <f ca="1">IF(OR(Age[[#This Row],[Closed?]]="Delivered", Age[[#This Row],[Closed?]]="Closed"), Age[[#This Row],[Delivered/Closed Date]]-Age[[#This Row],[Date Opened]], TODAY() - VLOOKUP(A3,'Age Data (Hidden)'!$A:$C,3,FALSE))</f>
        <v>401</v>
      </c>
      <c r="I3" s="23"/>
      <c r="J3" s="23" t="str">
        <f t="shared" si="0"/>
        <v>N/A</v>
      </c>
      <c r="K3" s="23">
        <f t="shared" si="1"/>
        <v>12</v>
      </c>
      <c r="L3" s="23">
        <f t="shared" si="2"/>
        <v>41</v>
      </c>
      <c r="M3" s="23">
        <f t="shared" si="3"/>
        <v>72</v>
      </c>
      <c r="N3" s="23">
        <f t="shared" si="4"/>
        <v>102</v>
      </c>
      <c r="O3" s="23">
        <f t="shared" si="5"/>
        <v>133</v>
      </c>
      <c r="P3" s="23">
        <f t="shared" si="6"/>
        <v>163</v>
      </c>
      <c r="Q3" s="23">
        <f t="shared" si="7"/>
        <v>194</v>
      </c>
      <c r="R3" s="23">
        <f t="shared" si="8"/>
        <v>225</v>
      </c>
      <c r="S3" s="23">
        <f t="shared" si="9"/>
        <v>255</v>
      </c>
      <c r="T3" s="23">
        <f t="shared" si="10"/>
        <v>286</v>
      </c>
      <c r="U3" s="8">
        <f t="shared" si="11"/>
        <v>316</v>
      </c>
      <c r="V3" s="8">
        <f t="shared" si="12"/>
        <v>347</v>
      </c>
      <c r="W3" s="103">
        <f t="shared" ref="W3:W66" si="13">IF($C3&lt;42767,IF($G3&lt;&gt;"", IF($G3&lt;42736,"N/A", IF($G3 &lt;42767,$G3-$C3,42767-$C3)),42767-$C3), "N/A")</f>
        <v>378</v>
      </c>
      <c r="X3" s="103">
        <f t="shared" ref="X3:X66" ca="1" si="14">IF($C3&lt;42795,IF($G3&lt;&gt;"", IF($G3&lt;42767,"N/A", IF($G3 &lt;42795,$G3-$C3,42795-$C3)),TODAY()-$C3), "N/A")</f>
        <v>401</v>
      </c>
    </row>
    <row r="4" spans="1:32" x14ac:dyDescent="0.3">
      <c r="A4" s="8" t="s">
        <v>9</v>
      </c>
      <c r="C4" s="15">
        <v>42458</v>
      </c>
      <c r="D4" s="23"/>
      <c r="E4" s="23" t="s">
        <v>222</v>
      </c>
      <c r="F4" t="s">
        <v>228</v>
      </c>
      <c r="G4" s="15">
        <v>42579</v>
      </c>
      <c r="H4" s="23">
        <f ca="1">IF(OR(Age[[#This Row],[Closed?]]="Delivered", Age[[#This Row],[Closed?]]="Closed"), Age[[#This Row],[Delivered/Closed Date]]-Age[[#This Row],[Date Opened]], TODAY() - VLOOKUP(A4,'Age Data (Hidden)'!$A:$C,3,FALSE))</f>
        <v>121</v>
      </c>
      <c r="I4" s="23" t="s">
        <v>3</v>
      </c>
      <c r="J4" s="23" t="str">
        <f t="shared" si="0"/>
        <v>N/A</v>
      </c>
      <c r="K4" s="23" t="str">
        <f t="shared" si="1"/>
        <v>N/A</v>
      </c>
      <c r="L4" s="23" t="str">
        <f t="shared" si="2"/>
        <v>N/A</v>
      </c>
      <c r="M4" s="23">
        <f t="shared" si="3"/>
        <v>3</v>
      </c>
      <c r="N4" s="23">
        <f t="shared" si="4"/>
        <v>33</v>
      </c>
      <c r="O4" s="23">
        <f t="shared" si="5"/>
        <v>64</v>
      </c>
      <c r="P4" s="23">
        <f t="shared" si="6"/>
        <v>94</v>
      </c>
      <c r="Q4" s="23">
        <f t="shared" si="7"/>
        <v>121</v>
      </c>
      <c r="R4" s="23" t="str">
        <f t="shared" si="8"/>
        <v>N/A</v>
      </c>
      <c r="S4" s="23" t="str">
        <f t="shared" si="9"/>
        <v>N/A</v>
      </c>
      <c r="T4" s="23" t="str">
        <f t="shared" si="10"/>
        <v>N/A</v>
      </c>
      <c r="U4" s="8" t="str">
        <f t="shared" si="11"/>
        <v>N/A</v>
      </c>
      <c r="V4" s="8" t="str">
        <f t="shared" si="12"/>
        <v>N/A</v>
      </c>
      <c r="W4" s="103" t="str">
        <f t="shared" si="13"/>
        <v>N/A</v>
      </c>
      <c r="X4" s="103" t="str">
        <f t="shared" ca="1" si="14"/>
        <v>N/A</v>
      </c>
    </row>
    <row r="5" spans="1:32" x14ac:dyDescent="0.3">
      <c r="A5" s="8" t="s">
        <v>12</v>
      </c>
      <c r="C5" s="15">
        <v>42438</v>
      </c>
      <c r="D5" s="23"/>
      <c r="E5" s="23" t="s">
        <v>222</v>
      </c>
      <c r="F5" t="s">
        <v>228</v>
      </c>
      <c r="G5" s="15">
        <v>42579</v>
      </c>
      <c r="H5" s="23">
        <f ca="1">IF(OR(Age[[#This Row],[Closed?]]="Delivered", Age[[#This Row],[Closed?]]="Closed"), Age[[#This Row],[Delivered/Closed Date]]-Age[[#This Row],[Date Opened]], TODAY() - VLOOKUP(A5,'Age Data (Hidden)'!$A:$C,3,FALSE))</f>
        <v>141</v>
      </c>
      <c r="I5" s="23" t="s">
        <v>3</v>
      </c>
      <c r="J5" s="23" t="str">
        <f t="shared" si="0"/>
        <v>N/A</v>
      </c>
      <c r="K5" s="23" t="str">
        <f t="shared" si="1"/>
        <v>N/A</v>
      </c>
      <c r="L5" s="23" t="str">
        <f t="shared" si="2"/>
        <v>N/A</v>
      </c>
      <c r="M5" s="23">
        <f t="shared" si="3"/>
        <v>23</v>
      </c>
      <c r="N5" s="23">
        <f t="shared" si="4"/>
        <v>53</v>
      </c>
      <c r="O5" s="23">
        <f t="shared" si="5"/>
        <v>84</v>
      </c>
      <c r="P5" s="23">
        <f t="shared" si="6"/>
        <v>114</v>
      </c>
      <c r="Q5" s="23">
        <f t="shared" si="7"/>
        <v>141</v>
      </c>
      <c r="R5" s="23" t="str">
        <f t="shared" si="8"/>
        <v>N/A</v>
      </c>
      <c r="S5" s="23" t="str">
        <f t="shared" si="9"/>
        <v>N/A</v>
      </c>
      <c r="T5" s="23" t="str">
        <f t="shared" si="10"/>
        <v>N/A</v>
      </c>
      <c r="U5" s="8" t="str">
        <f t="shared" si="11"/>
        <v>N/A</v>
      </c>
      <c r="V5" s="8" t="str">
        <f t="shared" si="12"/>
        <v>N/A</v>
      </c>
      <c r="W5" s="103" t="str">
        <f t="shared" si="13"/>
        <v>N/A</v>
      </c>
      <c r="X5" s="103" t="str">
        <f t="shared" ca="1" si="14"/>
        <v>N/A</v>
      </c>
    </row>
    <row r="6" spans="1:32" x14ac:dyDescent="0.3">
      <c r="A6" s="8" t="s">
        <v>16</v>
      </c>
      <c r="C6" s="15">
        <v>42318</v>
      </c>
      <c r="D6" s="23"/>
      <c r="E6" s="23" t="s">
        <v>222</v>
      </c>
      <c r="F6" s="23" t="s">
        <v>113</v>
      </c>
      <c r="G6" s="15">
        <v>42684</v>
      </c>
      <c r="H6" s="23">
        <f ca="1">IF(OR(Age[[#This Row],[Closed?]]="Delivered", Age[[#This Row],[Closed?]]="Closed"), Age[[#This Row],[Delivered/Closed Date]]-Age[[#This Row],[Date Opened]], TODAY() - VLOOKUP(A6,'Age Data (Hidden)'!$A:$C,3,FALSE))</f>
        <v>366</v>
      </c>
      <c r="I6" s="23" t="s">
        <v>3</v>
      </c>
      <c r="J6" s="23">
        <f t="shared" si="0"/>
        <v>52</v>
      </c>
      <c r="K6" s="23">
        <f t="shared" si="1"/>
        <v>83</v>
      </c>
      <c r="L6" s="23">
        <f t="shared" si="2"/>
        <v>112</v>
      </c>
      <c r="M6" s="23">
        <f t="shared" si="3"/>
        <v>143</v>
      </c>
      <c r="N6" s="23">
        <f t="shared" si="4"/>
        <v>173</v>
      </c>
      <c r="O6" s="23">
        <f t="shared" si="5"/>
        <v>204</v>
      </c>
      <c r="P6" s="23">
        <f t="shared" si="6"/>
        <v>234</v>
      </c>
      <c r="Q6" s="23">
        <f t="shared" si="7"/>
        <v>265</v>
      </c>
      <c r="R6" s="23">
        <f t="shared" si="8"/>
        <v>296</v>
      </c>
      <c r="S6" s="23">
        <f t="shared" si="9"/>
        <v>326</v>
      </c>
      <c r="T6" s="23">
        <f t="shared" si="10"/>
        <v>357</v>
      </c>
      <c r="U6" s="8">
        <f t="shared" si="11"/>
        <v>366</v>
      </c>
      <c r="V6" s="8" t="str">
        <f t="shared" si="12"/>
        <v>N/A</v>
      </c>
      <c r="W6" s="103" t="str">
        <f t="shared" si="13"/>
        <v>N/A</v>
      </c>
      <c r="X6" s="103" t="str">
        <f t="shared" ca="1" si="14"/>
        <v>N/A</v>
      </c>
    </row>
    <row r="7" spans="1:32" x14ac:dyDescent="0.3">
      <c r="A7" s="8" t="s">
        <v>35</v>
      </c>
      <c r="C7" s="15">
        <v>42447</v>
      </c>
      <c r="D7" s="23"/>
      <c r="E7" s="23" t="s">
        <v>150</v>
      </c>
      <c r="F7" s="23"/>
      <c r="G7" s="15">
        <v>42683</v>
      </c>
      <c r="H7" s="23">
        <f ca="1">IF(OR(Age[[#This Row],[Closed?]]="Delivered", Age[[#This Row],[Closed?]]="Closed"), Age[[#This Row],[Delivered/Closed Date]]-Age[[#This Row],[Date Opened]], TODAY() - VLOOKUP(A7,'Age Data (Hidden)'!$A:$C,3,FALSE))</f>
        <v>236</v>
      </c>
      <c r="I7" s="23" t="s">
        <v>154</v>
      </c>
      <c r="J7" s="23" t="str">
        <f t="shared" si="0"/>
        <v>N/A</v>
      </c>
      <c r="K7" s="23" t="str">
        <f t="shared" si="1"/>
        <v>N/A</v>
      </c>
      <c r="L7" s="23" t="str">
        <f t="shared" si="2"/>
        <v>N/A</v>
      </c>
      <c r="M7" s="23">
        <f t="shared" si="3"/>
        <v>14</v>
      </c>
      <c r="N7" s="23">
        <f t="shared" si="4"/>
        <v>44</v>
      </c>
      <c r="O7" s="23">
        <f t="shared" si="5"/>
        <v>75</v>
      </c>
      <c r="P7" s="23">
        <f t="shared" si="6"/>
        <v>105</v>
      </c>
      <c r="Q7" s="23">
        <f t="shared" si="7"/>
        <v>136</v>
      </c>
      <c r="R7" s="23">
        <f t="shared" si="8"/>
        <v>167</v>
      </c>
      <c r="S7" s="23">
        <f t="shared" si="9"/>
        <v>197</v>
      </c>
      <c r="T7" s="23">
        <f t="shared" si="10"/>
        <v>228</v>
      </c>
      <c r="U7" s="8">
        <f t="shared" si="11"/>
        <v>236</v>
      </c>
      <c r="V7" s="8" t="str">
        <f t="shared" si="12"/>
        <v>N/A</v>
      </c>
      <c r="W7" s="103" t="str">
        <f t="shared" si="13"/>
        <v>N/A</v>
      </c>
      <c r="X7" s="103" t="str">
        <f t="shared" ca="1" si="14"/>
        <v>N/A</v>
      </c>
    </row>
    <row r="8" spans="1:32" x14ac:dyDescent="0.3">
      <c r="A8" s="8" t="s">
        <v>41</v>
      </c>
      <c r="C8" s="15">
        <v>42460</v>
      </c>
      <c r="D8" s="23"/>
      <c r="E8" s="23" t="s">
        <v>222</v>
      </c>
      <c r="F8" s="23" t="s">
        <v>113</v>
      </c>
      <c r="G8" s="15">
        <v>42684</v>
      </c>
      <c r="H8" s="23">
        <f ca="1">IF(OR(Age[[#This Row],[Closed?]]="Delivered", Age[[#This Row],[Closed?]]="Closed"), Age[[#This Row],[Delivered/Closed Date]]-Age[[#This Row],[Date Opened]], TODAY() - VLOOKUP(A8,'Age Data (Hidden)'!$A:$C,3,FALSE))</f>
        <v>224</v>
      </c>
      <c r="I8" s="23" t="s">
        <v>3</v>
      </c>
      <c r="J8" s="23" t="str">
        <f t="shared" si="0"/>
        <v>N/A</v>
      </c>
      <c r="K8" s="23" t="str">
        <f t="shared" si="1"/>
        <v>N/A</v>
      </c>
      <c r="L8" s="23" t="str">
        <f t="shared" si="2"/>
        <v>N/A</v>
      </c>
      <c r="M8" s="23">
        <f t="shared" si="3"/>
        <v>1</v>
      </c>
      <c r="N8" s="23">
        <f t="shared" si="4"/>
        <v>31</v>
      </c>
      <c r="O8" s="23">
        <f t="shared" si="5"/>
        <v>62</v>
      </c>
      <c r="P8" s="23">
        <f t="shared" si="6"/>
        <v>92</v>
      </c>
      <c r="Q8" s="23">
        <f t="shared" si="7"/>
        <v>123</v>
      </c>
      <c r="R8" s="23">
        <f t="shared" si="8"/>
        <v>154</v>
      </c>
      <c r="S8" s="23">
        <f t="shared" si="9"/>
        <v>184</v>
      </c>
      <c r="T8" s="23">
        <f t="shared" si="10"/>
        <v>215</v>
      </c>
      <c r="U8" s="8">
        <f t="shared" si="11"/>
        <v>224</v>
      </c>
      <c r="V8" s="8" t="str">
        <f t="shared" si="12"/>
        <v>N/A</v>
      </c>
      <c r="W8" s="103" t="str">
        <f t="shared" si="13"/>
        <v>N/A</v>
      </c>
      <c r="X8" s="103" t="str">
        <f t="shared" ca="1" si="14"/>
        <v>N/A</v>
      </c>
    </row>
    <row r="9" spans="1:32" x14ac:dyDescent="0.3">
      <c r="A9" s="8" t="s">
        <v>68</v>
      </c>
      <c r="B9" s="8" t="s">
        <v>237</v>
      </c>
      <c r="C9" s="15">
        <v>42479</v>
      </c>
      <c r="D9" s="23"/>
      <c r="E9" s="23" t="s">
        <v>220</v>
      </c>
      <c r="F9" s="23"/>
      <c r="G9" s="15"/>
      <c r="H9" s="23">
        <f ca="1">IF(OR(Age[[#This Row],[Closed?]]="Delivered", Age[[#This Row],[Closed?]]="Closed"), Age[[#This Row],[Delivered/Closed Date]]-Age[[#This Row],[Date Opened]], TODAY() - VLOOKUP(A9,'Age Data (Hidden)'!$A:$C,3,FALSE))</f>
        <v>311</v>
      </c>
      <c r="I9" s="23" t="s">
        <v>3</v>
      </c>
      <c r="J9" s="23" t="str">
        <f t="shared" si="0"/>
        <v>N/A</v>
      </c>
      <c r="K9" s="23" t="str">
        <f t="shared" si="1"/>
        <v>N/A</v>
      </c>
      <c r="L9" s="23" t="str">
        <f t="shared" si="2"/>
        <v>N/A</v>
      </c>
      <c r="M9" s="23" t="str">
        <f t="shared" si="3"/>
        <v>N/A</v>
      </c>
      <c r="N9" s="23">
        <f t="shared" si="4"/>
        <v>12</v>
      </c>
      <c r="O9" s="23">
        <f t="shared" si="5"/>
        <v>43</v>
      </c>
      <c r="P9" s="23">
        <f t="shared" si="6"/>
        <v>73</v>
      </c>
      <c r="Q9" s="23">
        <f t="shared" si="7"/>
        <v>104</v>
      </c>
      <c r="R9" s="23">
        <f t="shared" si="8"/>
        <v>135</v>
      </c>
      <c r="S9" s="23">
        <f t="shared" si="9"/>
        <v>165</v>
      </c>
      <c r="T9" s="23">
        <f t="shared" si="10"/>
        <v>196</v>
      </c>
      <c r="U9" s="8">
        <f t="shared" si="11"/>
        <v>226</v>
      </c>
      <c r="V9" s="8">
        <f t="shared" si="12"/>
        <v>257</v>
      </c>
      <c r="W9" s="103">
        <f t="shared" si="13"/>
        <v>288</v>
      </c>
      <c r="X9" s="103">
        <f t="shared" ca="1" si="14"/>
        <v>311</v>
      </c>
      <c r="AE9" s="15">
        <v>42370</v>
      </c>
      <c r="AF9" s="103">
        <v>42370</v>
      </c>
    </row>
    <row r="10" spans="1:32" x14ac:dyDescent="0.3">
      <c r="A10" s="8" t="s">
        <v>17</v>
      </c>
      <c r="C10" s="15">
        <v>42292</v>
      </c>
      <c r="D10" s="23"/>
      <c r="E10" s="23" t="s">
        <v>222</v>
      </c>
      <c r="F10" s="23" t="s">
        <v>113</v>
      </c>
      <c r="G10" s="15">
        <v>42684</v>
      </c>
      <c r="H10" s="23">
        <f ca="1">IF(OR(Age[[#This Row],[Closed?]]="Delivered", Age[[#This Row],[Closed?]]="Closed"), Age[[#This Row],[Delivered/Closed Date]]-Age[[#This Row],[Date Opened]], TODAY() - VLOOKUP(A10,'Age Data (Hidden)'!$A:$C,3,FALSE))</f>
        <v>392</v>
      </c>
      <c r="I10" s="23" t="s">
        <v>3</v>
      </c>
      <c r="J10" s="23">
        <f t="shared" si="0"/>
        <v>78</v>
      </c>
      <c r="K10" s="23">
        <f t="shared" si="1"/>
        <v>109</v>
      </c>
      <c r="L10" s="23">
        <f t="shared" si="2"/>
        <v>138</v>
      </c>
      <c r="M10" s="23">
        <f t="shared" si="3"/>
        <v>169</v>
      </c>
      <c r="N10" s="23">
        <f t="shared" si="4"/>
        <v>199</v>
      </c>
      <c r="O10" s="23">
        <f t="shared" si="5"/>
        <v>230</v>
      </c>
      <c r="P10" s="23">
        <f t="shared" si="6"/>
        <v>260</v>
      </c>
      <c r="Q10" s="23">
        <f t="shared" si="7"/>
        <v>291</v>
      </c>
      <c r="R10" s="23">
        <f t="shared" si="8"/>
        <v>322</v>
      </c>
      <c r="S10" s="23">
        <f t="shared" si="9"/>
        <v>352</v>
      </c>
      <c r="T10" s="23">
        <f t="shared" si="10"/>
        <v>383</v>
      </c>
      <c r="U10" s="8">
        <f t="shared" si="11"/>
        <v>392</v>
      </c>
      <c r="V10" s="8" t="str">
        <f t="shared" si="12"/>
        <v>N/A</v>
      </c>
      <c r="W10" s="103" t="str">
        <f t="shared" si="13"/>
        <v>N/A</v>
      </c>
      <c r="X10" s="103" t="str">
        <f t="shared" ca="1" si="14"/>
        <v>N/A</v>
      </c>
      <c r="Z10" s="103"/>
      <c r="AE10" s="15">
        <v>42401</v>
      </c>
      <c r="AF10" s="103">
        <v>42401</v>
      </c>
    </row>
    <row r="11" spans="1:32" x14ac:dyDescent="0.3">
      <c r="A11" s="8" t="s">
        <v>22</v>
      </c>
      <c r="C11" s="15">
        <v>42416</v>
      </c>
      <c r="D11" s="23"/>
      <c r="E11" s="23" t="s">
        <v>220</v>
      </c>
      <c r="F11" s="23"/>
      <c r="G11" s="15"/>
      <c r="H11" s="23">
        <f ca="1">IF(OR(Age[[#This Row],[Closed?]]="Delivered", Age[[#This Row],[Closed?]]="Closed"), Age[[#This Row],[Delivered/Closed Date]]-Age[[#This Row],[Date Opened]], TODAY() - VLOOKUP(A11,'Age Data (Hidden)'!$A:$C,3,FALSE))</f>
        <v>374</v>
      </c>
      <c r="I11" s="23"/>
      <c r="J11" s="23" t="str">
        <f t="shared" si="0"/>
        <v>N/A</v>
      </c>
      <c r="K11" s="23" t="str">
        <f t="shared" si="1"/>
        <v>N/A</v>
      </c>
      <c r="L11" s="23">
        <f t="shared" si="2"/>
        <v>14</v>
      </c>
      <c r="M11" s="23">
        <f t="shared" si="3"/>
        <v>45</v>
      </c>
      <c r="N11" s="23">
        <f t="shared" si="4"/>
        <v>75</v>
      </c>
      <c r="O11" s="23">
        <f t="shared" si="5"/>
        <v>106</v>
      </c>
      <c r="P11" s="23">
        <f t="shared" si="6"/>
        <v>136</v>
      </c>
      <c r="Q11" s="23">
        <f t="shared" si="7"/>
        <v>167</v>
      </c>
      <c r="R11" s="23">
        <f t="shared" si="8"/>
        <v>198</v>
      </c>
      <c r="S11" s="23">
        <f t="shared" si="9"/>
        <v>228</v>
      </c>
      <c r="T11" s="23">
        <f t="shared" si="10"/>
        <v>259</v>
      </c>
      <c r="U11" s="8">
        <f t="shared" si="11"/>
        <v>289</v>
      </c>
      <c r="V11" s="8">
        <f t="shared" si="12"/>
        <v>320</v>
      </c>
      <c r="W11" s="103">
        <f t="shared" si="13"/>
        <v>351</v>
      </c>
      <c r="X11" s="103">
        <f t="shared" ca="1" si="14"/>
        <v>374</v>
      </c>
      <c r="Z11" s="103"/>
      <c r="AE11" s="15">
        <v>42430</v>
      </c>
      <c r="AF11" s="103">
        <v>42430</v>
      </c>
    </row>
    <row r="12" spans="1:32" x14ac:dyDescent="0.3">
      <c r="A12" s="8" t="s">
        <v>25</v>
      </c>
      <c r="C12" s="15">
        <v>42443</v>
      </c>
      <c r="D12" s="23"/>
      <c r="E12" s="23" t="s">
        <v>222</v>
      </c>
      <c r="F12" s="23" t="s">
        <v>358</v>
      </c>
      <c r="G12" s="15">
        <v>42768</v>
      </c>
      <c r="H12" s="23">
        <f ca="1">IF(OR(Age[[#This Row],[Closed?]]="Delivered", Age[[#This Row],[Closed?]]="Closed"), Age[[#This Row],[Delivered/Closed Date]]-Age[[#This Row],[Date Opened]], TODAY() - VLOOKUP(A12,'Age Data (Hidden)'!$A:$C,3,FALSE))</f>
        <v>325</v>
      </c>
      <c r="I12" s="23" t="s">
        <v>3</v>
      </c>
      <c r="J12" s="23" t="str">
        <f t="shared" si="0"/>
        <v>N/A</v>
      </c>
      <c r="K12" s="23" t="str">
        <f t="shared" si="1"/>
        <v>N/A</v>
      </c>
      <c r="L12" s="23" t="str">
        <f t="shared" si="2"/>
        <v>N/A</v>
      </c>
      <c r="M12" s="23">
        <f t="shared" si="3"/>
        <v>18</v>
      </c>
      <c r="N12" s="23">
        <f t="shared" si="4"/>
        <v>48</v>
      </c>
      <c r="O12" s="23">
        <f t="shared" si="5"/>
        <v>79</v>
      </c>
      <c r="P12" s="23">
        <f t="shared" si="6"/>
        <v>109</v>
      </c>
      <c r="Q12" s="23">
        <f t="shared" si="7"/>
        <v>140</v>
      </c>
      <c r="R12" s="23">
        <f t="shared" si="8"/>
        <v>171</v>
      </c>
      <c r="S12" s="23">
        <f t="shared" si="9"/>
        <v>201</v>
      </c>
      <c r="T12" s="23">
        <f t="shared" si="10"/>
        <v>232</v>
      </c>
      <c r="U12" s="8">
        <f t="shared" si="11"/>
        <v>262</v>
      </c>
      <c r="V12" s="8">
        <f t="shared" si="12"/>
        <v>293</v>
      </c>
      <c r="W12" s="103">
        <f t="shared" si="13"/>
        <v>324</v>
      </c>
      <c r="X12" s="103">
        <f t="shared" ca="1" si="14"/>
        <v>325</v>
      </c>
      <c r="Z12" s="103"/>
      <c r="AE12" s="15">
        <v>42461</v>
      </c>
      <c r="AF12" s="103">
        <v>42461</v>
      </c>
    </row>
    <row r="13" spans="1:32" x14ac:dyDescent="0.3">
      <c r="A13" s="8" t="s">
        <v>26</v>
      </c>
      <c r="C13" s="15">
        <v>42353</v>
      </c>
      <c r="D13" s="23"/>
      <c r="E13" s="23" t="s">
        <v>150</v>
      </c>
      <c r="F13" t="s">
        <v>242</v>
      </c>
      <c r="G13" s="15">
        <v>42543</v>
      </c>
      <c r="H13" s="23">
        <f ca="1">IF(OR(Age[[#This Row],[Closed?]]="Delivered", Age[[#This Row],[Closed?]]="Closed"), Age[[#This Row],[Delivered/Closed Date]]-Age[[#This Row],[Date Opened]], TODAY() - VLOOKUP(A13,'Age Data (Hidden)'!$A:$C,3,FALSE))</f>
        <v>190</v>
      </c>
      <c r="I13" s="23" t="s">
        <v>3</v>
      </c>
      <c r="J13" s="23">
        <f t="shared" si="0"/>
        <v>17</v>
      </c>
      <c r="K13" s="23">
        <f t="shared" si="1"/>
        <v>48</v>
      </c>
      <c r="L13" s="23">
        <f t="shared" si="2"/>
        <v>77</v>
      </c>
      <c r="M13" s="23">
        <f t="shared" si="3"/>
        <v>108</v>
      </c>
      <c r="N13" s="23">
        <f t="shared" si="4"/>
        <v>138</v>
      </c>
      <c r="O13" s="23">
        <f t="shared" si="5"/>
        <v>169</v>
      </c>
      <c r="P13" s="23">
        <f t="shared" si="6"/>
        <v>190</v>
      </c>
      <c r="Q13" s="23" t="str">
        <f t="shared" si="7"/>
        <v>N/A</v>
      </c>
      <c r="R13" s="23" t="str">
        <f t="shared" si="8"/>
        <v>N/A</v>
      </c>
      <c r="S13" s="23" t="str">
        <f t="shared" si="9"/>
        <v>N/A</v>
      </c>
      <c r="T13" s="23" t="str">
        <f t="shared" si="10"/>
        <v>N/A</v>
      </c>
      <c r="U13" s="8" t="str">
        <f t="shared" si="11"/>
        <v>N/A</v>
      </c>
      <c r="V13" s="8" t="str">
        <f t="shared" si="12"/>
        <v>N/A</v>
      </c>
      <c r="W13" s="103" t="str">
        <f t="shared" si="13"/>
        <v>N/A</v>
      </c>
      <c r="X13" s="103" t="str">
        <f t="shared" ca="1" si="14"/>
        <v>N/A</v>
      </c>
      <c r="Z13" s="103"/>
      <c r="AE13" s="15">
        <v>42491</v>
      </c>
      <c r="AF13" s="103">
        <v>42491</v>
      </c>
    </row>
    <row r="14" spans="1:32" x14ac:dyDescent="0.3">
      <c r="A14" s="8" t="s">
        <v>27</v>
      </c>
      <c r="C14" s="15">
        <v>42353</v>
      </c>
      <c r="D14" s="23"/>
      <c r="E14" s="23" t="s">
        <v>150</v>
      </c>
      <c r="F14" t="s">
        <v>242</v>
      </c>
      <c r="G14" s="15">
        <v>42543</v>
      </c>
      <c r="H14" s="23">
        <f ca="1">IF(OR(Age[[#This Row],[Closed?]]="Delivered", Age[[#This Row],[Closed?]]="Closed"), Age[[#This Row],[Delivered/Closed Date]]-Age[[#This Row],[Date Opened]], TODAY() - VLOOKUP(A14,'Age Data (Hidden)'!$A:$C,3,FALSE))</f>
        <v>190</v>
      </c>
      <c r="I14" s="23" t="s">
        <v>3</v>
      </c>
      <c r="J14" s="23">
        <f t="shared" si="0"/>
        <v>17</v>
      </c>
      <c r="K14" s="23">
        <f t="shared" si="1"/>
        <v>48</v>
      </c>
      <c r="L14" s="23">
        <f t="shared" si="2"/>
        <v>77</v>
      </c>
      <c r="M14" s="23">
        <f t="shared" si="3"/>
        <v>108</v>
      </c>
      <c r="N14" s="23">
        <f t="shared" si="4"/>
        <v>138</v>
      </c>
      <c r="O14" s="23">
        <f t="shared" si="5"/>
        <v>169</v>
      </c>
      <c r="P14" s="23">
        <f t="shared" si="6"/>
        <v>190</v>
      </c>
      <c r="Q14" s="23" t="str">
        <f t="shared" si="7"/>
        <v>N/A</v>
      </c>
      <c r="R14" s="23" t="str">
        <f t="shared" si="8"/>
        <v>N/A</v>
      </c>
      <c r="S14" s="23" t="str">
        <f t="shared" si="9"/>
        <v>N/A</v>
      </c>
      <c r="T14" s="23" t="str">
        <f t="shared" si="10"/>
        <v>N/A</v>
      </c>
      <c r="U14" s="8" t="str">
        <f t="shared" si="11"/>
        <v>N/A</v>
      </c>
      <c r="V14" s="8" t="str">
        <f t="shared" si="12"/>
        <v>N/A</v>
      </c>
      <c r="W14" s="103" t="str">
        <f t="shared" si="13"/>
        <v>N/A</v>
      </c>
      <c r="X14" s="103" t="str">
        <f t="shared" ca="1" si="14"/>
        <v>N/A</v>
      </c>
      <c r="Z14" s="103"/>
      <c r="AE14" s="15">
        <v>42522</v>
      </c>
      <c r="AF14" s="103">
        <v>42522</v>
      </c>
    </row>
    <row r="15" spans="1:32" x14ac:dyDescent="0.3">
      <c r="A15" s="8" t="s">
        <v>29</v>
      </c>
      <c r="C15" s="15">
        <v>42278</v>
      </c>
      <c r="D15" s="23"/>
      <c r="E15" s="23" t="s">
        <v>222</v>
      </c>
      <c r="F15" s="23" t="s">
        <v>358</v>
      </c>
      <c r="G15" s="15">
        <v>42768</v>
      </c>
      <c r="H15" s="23">
        <f ca="1">IF(OR(Age[[#This Row],[Closed?]]="Delivered", Age[[#This Row],[Closed?]]="Closed"), Age[[#This Row],[Delivered/Closed Date]]-Age[[#This Row],[Date Opened]], TODAY() - VLOOKUP(A15,'Age Data (Hidden)'!$A:$C,3,FALSE))</f>
        <v>490</v>
      </c>
      <c r="I15" s="23"/>
      <c r="J15" s="23">
        <f t="shared" si="0"/>
        <v>92</v>
      </c>
      <c r="K15" s="23">
        <f t="shared" si="1"/>
        <v>123</v>
      </c>
      <c r="L15" s="23">
        <f t="shared" si="2"/>
        <v>152</v>
      </c>
      <c r="M15" s="23">
        <f t="shared" si="3"/>
        <v>183</v>
      </c>
      <c r="N15" s="23">
        <f t="shared" si="4"/>
        <v>213</v>
      </c>
      <c r="O15" s="23">
        <f t="shared" si="5"/>
        <v>244</v>
      </c>
      <c r="P15" s="23">
        <f t="shared" si="6"/>
        <v>274</v>
      </c>
      <c r="Q15" s="23">
        <f t="shared" si="7"/>
        <v>305</v>
      </c>
      <c r="R15" s="23">
        <f t="shared" si="8"/>
        <v>336</v>
      </c>
      <c r="S15" s="23">
        <f t="shared" si="9"/>
        <v>366</v>
      </c>
      <c r="T15" s="23">
        <f t="shared" si="10"/>
        <v>397</v>
      </c>
      <c r="U15" s="8">
        <f t="shared" si="11"/>
        <v>427</v>
      </c>
      <c r="V15" s="8">
        <f t="shared" si="12"/>
        <v>458</v>
      </c>
      <c r="W15" s="103">
        <f t="shared" si="13"/>
        <v>489</v>
      </c>
      <c r="X15" s="103">
        <f t="shared" ca="1" si="14"/>
        <v>490</v>
      </c>
      <c r="Z15" s="103"/>
      <c r="AE15" s="15">
        <v>42552</v>
      </c>
      <c r="AF15" s="103">
        <v>42552</v>
      </c>
    </row>
    <row r="16" spans="1:32" x14ac:dyDescent="0.3">
      <c r="A16" s="8" t="s">
        <v>31</v>
      </c>
      <c r="B16" s="8" t="s">
        <v>238</v>
      </c>
      <c r="C16" s="15">
        <v>42449</v>
      </c>
      <c r="D16" s="23"/>
      <c r="E16" s="23" t="s">
        <v>220</v>
      </c>
      <c r="F16" s="23"/>
      <c r="G16" s="15"/>
      <c r="H16" s="23">
        <f ca="1">IF(OR(Age[[#This Row],[Closed?]]="Delivered", Age[[#This Row],[Closed?]]="Closed"), Age[[#This Row],[Delivered/Closed Date]]-Age[[#This Row],[Date Opened]], TODAY() - VLOOKUP(A16,'Age Data (Hidden)'!$A:$C,3,FALSE))</f>
        <v>341</v>
      </c>
      <c r="I16" s="23" t="s">
        <v>2</v>
      </c>
      <c r="J16" s="23" t="str">
        <f t="shared" si="0"/>
        <v>N/A</v>
      </c>
      <c r="K16" s="23" t="str">
        <f t="shared" si="1"/>
        <v>N/A</v>
      </c>
      <c r="L16" s="23" t="str">
        <f t="shared" si="2"/>
        <v>N/A</v>
      </c>
      <c r="M16" s="23">
        <f t="shared" si="3"/>
        <v>12</v>
      </c>
      <c r="N16" s="23">
        <f t="shared" si="4"/>
        <v>42</v>
      </c>
      <c r="O16" s="23">
        <f t="shared" si="5"/>
        <v>73</v>
      </c>
      <c r="P16" s="23">
        <f t="shared" si="6"/>
        <v>103</v>
      </c>
      <c r="Q16" s="23">
        <f t="shared" si="7"/>
        <v>134</v>
      </c>
      <c r="R16" s="23">
        <f t="shared" si="8"/>
        <v>165</v>
      </c>
      <c r="S16" s="23">
        <f t="shared" si="9"/>
        <v>195</v>
      </c>
      <c r="T16" s="23">
        <f t="shared" si="10"/>
        <v>226</v>
      </c>
      <c r="U16" s="8">
        <f t="shared" si="11"/>
        <v>256</v>
      </c>
      <c r="V16" s="8">
        <f t="shared" si="12"/>
        <v>287</v>
      </c>
      <c r="W16" s="103">
        <f t="shared" si="13"/>
        <v>318</v>
      </c>
      <c r="X16" s="103">
        <f t="shared" ca="1" si="14"/>
        <v>341</v>
      </c>
      <c r="Z16" s="103"/>
      <c r="AE16" s="15">
        <v>42583</v>
      </c>
      <c r="AF16" s="103">
        <v>42583</v>
      </c>
    </row>
    <row r="17" spans="1:32" x14ac:dyDescent="0.3">
      <c r="A17" s="8" t="s">
        <v>37</v>
      </c>
      <c r="C17" s="15">
        <v>42416</v>
      </c>
      <c r="D17" s="23"/>
      <c r="E17" s="23" t="s">
        <v>220</v>
      </c>
      <c r="F17" s="23"/>
      <c r="G17" s="15"/>
      <c r="H17" s="23">
        <f ca="1">IF(OR(Age[[#This Row],[Closed?]]="Delivered", Age[[#This Row],[Closed?]]="Closed"), Age[[#This Row],[Delivered/Closed Date]]-Age[[#This Row],[Date Opened]], TODAY() - VLOOKUP(A17,'Age Data (Hidden)'!$A:$C,3,FALSE))</f>
        <v>374</v>
      </c>
      <c r="I17" s="23"/>
      <c r="J17" s="23" t="str">
        <f t="shared" si="0"/>
        <v>N/A</v>
      </c>
      <c r="K17" s="23" t="str">
        <f t="shared" si="1"/>
        <v>N/A</v>
      </c>
      <c r="L17" s="23">
        <f t="shared" si="2"/>
        <v>14</v>
      </c>
      <c r="M17" s="23">
        <f t="shared" si="3"/>
        <v>45</v>
      </c>
      <c r="N17" s="23">
        <f t="shared" si="4"/>
        <v>75</v>
      </c>
      <c r="O17" s="23">
        <f t="shared" si="5"/>
        <v>106</v>
      </c>
      <c r="P17" s="23">
        <f t="shared" si="6"/>
        <v>136</v>
      </c>
      <c r="Q17" s="23">
        <f t="shared" si="7"/>
        <v>167</v>
      </c>
      <c r="R17" s="23">
        <f t="shared" si="8"/>
        <v>198</v>
      </c>
      <c r="S17" s="23">
        <f t="shared" si="9"/>
        <v>228</v>
      </c>
      <c r="T17" s="23">
        <f t="shared" si="10"/>
        <v>259</v>
      </c>
      <c r="U17" s="8">
        <f t="shared" si="11"/>
        <v>289</v>
      </c>
      <c r="V17" s="8">
        <f t="shared" si="12"/>
        <v>320</v>
      </c>
      <c r="W17" s="103">
        <f t="shared" si="13"/>
        <v>351</v>
      </c>
      <c r="X17" s="103">
        <f t="shared" ca="1" si="14"/>
        <v>374</v>
      </c>
      <c r="Z17" s="103"/>
      <c r="AE17" s="15">
        <v>42614</v>
      </c>
      <c r="AF17" s="103">
        <v>42614</v>
      </c>
    </row>
    <row r="18" spans="1:32" x14ac:dyDescent="0.3">
      <c r="A18" s="8" t="s">
        <v>39</v>
      </c>
      <c r="B18" s="8" t="s">
        <v>238</v>
      </c>
      <c r="C18" s="15">
        <v>42374</v>
      </c>
      <c r="D18" s="23"/>
      <c r="E18" s="23" t="s">
        <v>220</v>
      </c>
      <c r="F18" s="23"/>
      <c r="G18" s="15"/>
      <c r="H18" s="23">
        <f ca="1">IF(OR(Age[[#This Row],[Closed?]]="Delivered", Age[[#This Row],[Closed?]]="Closed"), Age[[#This Row],[Delivered/Closed Date]]-Age[[#This Row],[Date Opened]], TODAY() - VLOOKUP(A18,'Age Data (Hidden)'!$A:$C,3,FALSE))</f>
        <v>416</v>
      </c>
      <c r="I18" s="23" t="s">
        <v>2</v>
      </c>
      <c r="J18" s="23" t="str">
        <f t="shared" si="0"/>
        <v>N/A</v>
      </c>
      <c r="K18" s="23">
        <f t="shared" si="1"/>
        <v>27</v>
      </c>
      <c r="L18" s="23">
        <f t="shared" si="2"/>
        <v>56</v>
      </c>
      <c r="M18" s="23">
        <f t="shared" si="3"/>
        <v>87</v>
      </c>
      <c r="N18" s="23">
        <f t="shared" si="4"/>
        <v>117</v>
      </c>
      <c r="O18" s="23">
        <f t="shared" si="5"/>
        <v>148</v>
      </c>
      <c r="P18" s="23">
        <f t="shared" si="6"/>
        <v>178</v>
      </c>
      <c r="Q18" s="23">
        <f t="shared" si="7"/>
        <v>209</v>
      </c>
      <c r="R18" s="23">
        <f t="shared" si="8"/>
        <v>240</v>
      </c>
      <c r="S18" s="23">
        <f t="shared" si="9"/>
        <v>270</v>
      </c>
      <c r="T18" s="23">
        <f t="shared" si="10"/>
        <v>301</v>
      </c>
      <c r="U18" s="8">
        <f t="shared" si="11"/>
        <v>331</v>
      </c>
      <c r="V18" s="8">
        <f t="shared" si="12"/>
        <v>362</v>
      </c>
      <c r="W18" s="103">
        <f t="shared" si="13"/>
        <v>393</v>
      </c>
      <c r="X18" s="103">
        <f t="shared" ca="1" si="14"/>
        <v>416</v>
      </c>
      <c r="Z18" s="103"/>
      <c r="AE18" s="15">
        <v>42644</v>
      </c>
      <c r="AF18" s="103">
        <v>42644</v>
      </c>
    </row>
    <row r="19" spans="1:32" x14ac:dyDescent="0.3">
      <c r="A19" s="8" t="s">
        <v>42</v>
      </c>
      <c r="C19" s="15">
        <v>42478</v>
      </c>
      <c r="D19" s="23"/>
      <c r="E19" s="23" t="s">
        <v>222</v>
      </c>
      <c r="F19" t="s">
        <v>228</v>
      </c>
      <c r="G19" s="15">
        <v>42579</v>
      </c>
      <c r="H19" s="23">
        <f ca="1">IF(OR(Age[[#This Row],[Closed?]]="Delivered", Age[[#This Row],[Closed?]]="Closed"), Age[[#This Row],[Delivered/Closed Date]]-Age[[#This Row],[Date Opened]], TODAY() - VLOOKUP(A19,'Age Data (Hidden)'!$A:$C,3,FALSE))</f>
        <v>101</v>
      </c>
      <c r="I19" s="23" t="s">
        <v>3</v>
      </c>
      <c r="J19" s="23" t="str">
        <f t="shared" si="0"/>
        <v>N/A</v>
      </c>
      <c r="K19" s="23" t="str">
        <f t="shared" si="1"/>
        <v>N/A</v>
      </c>
      <c r="L19" s="23" t="str">
        <f t="shared" si="2"/>
        <v>N/A</v>
      </c>
      <c r="M19" s="23" t="str">
        <f t="shared" si="3"/>
        <v>N/A</v>
      </c>
      <c r="N19" s="23">
        <f t="shared" si="4"/>
        <v>13</v>
      </c>
      <c r="O19" s="23">
        <f t="shared" si="5"/>
        <v>44</v>
      </c>
      <c r="P19" s="23">
        <f t="shared" si="6"/>
        <v>74</v>
      </c>
      <c r="Q19" s="23">
        <f t="shared" si="7"/>
        <v>101</v>
      </c>
      <c r="R19" s="23" t="str">
        <f t="shared" si="8"/>
        <v>N/A</v>
      </c>
      <c r="S19" s="23" t="str">
        <f t="shared" si="9"/>
        <v>N/A</v>
      </c>
      <c r="T19" s="23" t="str">
        <f t="shared" si="10"/>
        <v>N/A</v>
      </c>
      <c r="U19" s="8" t="str">
        <f t="shared" si="11"/>
        <v>N/A</v>
      </c>
      <c r="V19" s="8" t="str">
        <f t="shared" si="12"/>
        <v>N/A</v>
      </c>
      <c r="W19" s="103" t="str">
        <f t="shared" si="13"/>
        <v>N/A</v>
      </c>
      <c r="X19" s="103" t="str">
        <f t="shared" ca="1" si="14"/>
        <v>N/A</v>
      </c>
      <c r="Z19" s="103"/>
      <c r="AE19" s="15">
        <v>42675</v>
      </c>
      <c r="AF19" s="103">
        <v>42675</v>
      </c>
    </row>
    <row r="20" spans="1:32" x14ac:dyDescent="0.3">
      <c r="A20" s="8" t="s">
        <v>43</v>
      </c>
      <c r="C20" s="15">
        <v>42480</v>
      </c>
      <c r="D20" s="23"/>
      <c r="E20" s="23" t="s">
        <v>222</v>
      </c>
      <c r="F20" s="23" t="s">
        <v>113</v>
      </c>
      <c r="G20" s="15">
        <v>42684</v>
      </c>
      <c r="H20" s="23">
        <f ca="1">IF(OR(Age[[#This Row],[Closed?]]="Delivered", Age[[#This Row],[Closed?]]="Closed"), Age[[#This Row],[Delivered/Closed Date]]-Age[[#This Row],[Date Opened]], TODAY() - VLOOKUP(A20,'Age Data (Hidden)'!$A:$C,3,FALSE))</f>
        <v>204</v>
      </c>
      <c r="I20" s="23" t="s">
        <v>3</v>
      </c>
      <c r="J20" s="23" t="str">
        <f t="shared" si="0"/>
        <v>N/A</v>
      </c>
      <c r="K20" s="23" t="str">
        <f t="shared" si="1"/>
        <v>N/A</v>
      </c>
      <c r="L20" s="23" t="str">
        <f t="shared" si="2"/>
        <v>N/A</v>
      </c>
      <c r="M20" s="23" t="str">
        <f t="shared" si="3"/>
        <v>N/A</v>
      </c>
      <c r="N20" s="23">
        <f t="shared" si="4"/>
        <v>11</v>
      </c>
      <c r="O20" s="23">
        <f t="shared" si="5"/>
        <v>42</v>
      </c>
      <c r="P20" s="23">
        <f t="shared" si="6"/>
        <v>72</v>
      </c>
      <c r="Q20" s="23">
        <f t="shared" si="7"/>
        <v>103</v>
      </c>
      <c r="R20" s="23">
        <f t="shared" si="8"/>
        <v>134</v>
      </c>
      <c r="S20" s="23">
        <f t="shared" si="9"/>
        <v>164</v>
      </c>
      <c r="T20" s="23">
        <f t="shared" si="10"/>
        <v>195</v>
      </c>
      <c r="U20" s="8">
        <f t="shared" si="11"/>
        <v>204</v>
      </c>
      <c r="V20" s="8" t="str">
        <f t="shared" si="12"/>
        <v>N/A</v>
      </c>
      <c r="W20" s="103" t="str">
        <f t="shared" si="13"/>
        <v>N/A</v>
      </c>
      <c r="X20" s="103" t="str">
        <f t="shared" ca="1" si="14"/>
        <v>N/A</v>
      </c>
      <c r="Z20" s="103"/>
      <c r="AE20" s="15">
        <v>42705</v>
      </c>
      <c r="AF20" s="103">
        <v>42705</v>
      </c>
    </row>
    <row r="21" spans="1:32" x14ac:dyDescent="0.3">
      <c r="A21" s="8" t="s">
        <v>69</v>
      </c>
      <c r="C21" s="15">
        <v>42481</v>
      </c>
      <c r="D21" s="23"/>
      <c r="E21" s="23" t="s">
        <v>222</v>
      </c>
      <c r="F21" s="23" t="s">
        <v>114</v>
      </c>
      <c r="G21" s="15">
        <v>42670</v>
      </c>
      <c r="H21" s="23">
        <f ca="1">IF(OR(Age[[#This Row],[Closed?]]="Delivered", Age[[#This Row],[Closed?]]="Closed"), Age[[#This Row],[Delivered/Closed Date]]-Age[[#This Row],[Date Opened]], TODAY() - VLOOKUP(A21,'Age Data (Hidden)'!$A:$C,3,FALSE))</f>
        <v>189</v>
      </c>
      <c r="I21" s="23" t="s">
        <v>2</v>
      </c>
      <c r="J21" s="23" t="str">
        <f t="shared" si="0"/>
        <v>N/A</v>
      </c>
      <c r="K21" s="23" t="str">
        <f t="shared" si="1"/>
        <v>N/A</v>
      </c>
      <c r="L21" s="23" t="str">
        <f t="shared" si="2"/>
        <v>N/A</v>
      </c>
      <c r="M21" s="23" t="str">
        <f t="shared" si="3"/>
        <v>N/A</v>
      </c>
      <c r="N21" s="23">
        <f t="shared" si="4"/>
        <v>10</v>
      </c>
      <c r="O21" s="23">
        <f t="shared" si="5"/>
        <v>41</v>
      </c>
      <c r="P21" s="23">
        <f t="shared" si="6"/>
        <v>71</v>
      </c>
      <c r="Q21" s="23">
        <f t="shared" si="7"/>
        <v>102</v>
      </c>
      <c r="R21" s="23">
        <f t="shared" si="8"/>
        <v>133</v>
      </c>
      <c r="S21" s="23">
        <f t="shared" si="9"/>
        <v>163</v>
      </c>
      <c r="T21" s="23">
        <f t="shared" si="10"/>
        <v>189</v>
      </c>
      <c r="U21" s="8" t="str">
        <f t="shared" si="11"/>
        <v>N/A</v>
      </c>
      <c r="V21" s="8" t="str">
        <f t="shared" si="12"/>
        <v>N/A</v>
      </c>
      <c r="W21" s="103" t="str">
        <f t="shared" si="13"/>
        <v>N/A</v>
      </c>
      <c r="X21" s="103" t="str">
        <f t="shared" ca="1" si="14"/>
        <v>N/A</v>
      </c>
      <c r="Z21" s="103"/>
      <c r="AE21" s="15">
        <v>42736</v>
      </c>
      <c r="AF21" s="103">
        <v>42736</v>
      </c>
    </row>
    <row r="22" spans="1:32" x14ac:dyDescent="0.3">
      <c r="A22" s="8" t="s">
        <v>56</v>
      </c>
      <c r="C22" s="15">
        <v>42482</v>
      </c>
      <c r="D22" s="23"/>
      <c r="E22" s="23" t="s">
        <v>222</v>
      </c>
      <c r="F22" s="23" t="s">
        <v>291</v>
      </c>
      <c r="G22" s="15">
        <v>42702</v>
      </c>
      <c r="H22" s="23">
        <f ca="1">IF(OR(Age[[#This Row],[Closed?]]="Delivered", Age[[#This Row],[Closed?]]="Closed"), Age[[#This Row],[Delivered/Closed Date]]-Age[[#This Row],[Date Opened]], TODAY() - VLOOKUP(A22,'Age Data (Hidden)'!$A:$C,3,FALSE))</f>
        <v>220</v>
      </c>
      <c r="I22" s="23" t="s">
        <v>3</v>
      </c>
      <c r="J22" s="23" t="str">
        <f t="shared" si="0"/>
        <v>N/A</v>
      </c>
      <c r="K22" s="23" t="str">
        <f t="shared" si="1"/>
        <v>N/A</v>
      </c>
      <c r="L22" s="23" t="str">
        <f t="shared" si="2"/>
        <v>N/A</v>
      </c>
      <c r="M22" s="23" t="str">
        <f t="shared" si="3"/>
        <v>N/A</v>
      </c>
      <c r="N22" s="23">
        <f t="shared" si="4"/>
        <v>9</v>
      </c>
      <c r="O22" s="23">
        <f t="shared" si="5"/>
        <v>40</v>
      </c>
      <c r="P22" s="23">
        <f t="shared" si="6"/>
        <v>70</v>
      </c>
      <c r="Q22" s="23">
        <f t="shared" si="7"/>
        <v>101</v>
      </c>
      <c r="R22" s="23">
        <f t="shared" si="8"/>
        <v>132</v>
      </c>
      <c r="S22" s="23">
        <f t="shared" si="9"/>
        <v>162</v>
      </c>
      <c r="T22" s="23">
        <f t="shared" si="10"/>
        <v>193</v>
      </c>
      <c r="U22" s="8">
        <f t="shared" si="11"/>
        <v>220</v>
      </c>
      <c r="V22" s="8" t="str">
        <f t="shared" si="12"/>
        <v>N/A</v>
      </c>
      <c r="W22" s="103" t="str">
        <f t="shared" si="13"/>
        <v>N/A</v>
      </c>
      <c r="X22" s="103" t="str">
        <f t="shared" ca="1" si="14"/>
        <v>N/A</v>
      </c>
      <c r="Z22" s="103"/>
      <c r="AE22" s="15">
        <v>42767</v>
      </c>
      <c r="AF22" s="103">
        <v>42767</v>
      </c>
    </row>
    <row r="23" spans="1:32" x14ac:dyDescent="0.3">
      <c r="A23" s="8" t="s">
        <v>60</v>
      </c>
      <c r="C23" s="15">
        <v>42473</v>
      </c>
      <c r="D23" s="23"/>
      <c r="E23" s="23" t="s">
        <v>220</v>
      </c>
      <c r="F23" s="23"/>
      <c r="G23" s="15"/>
      <c r="H23" s="23">
        <f ca="1">IF(OR(Age[[#This Row],[Closed?]]="Delivered", Age[[#This Row],[Closed?]]="Closed"), Age[[#This Row],[Delivered/Closed Date]]-Age[[#This Row],[Date Opened]], TODAY() - VLOOKUP(A23,'Age Data (Hidden)'!$A:$C,3,FALSE))</f>
        <v>317</v>
      </c>
      <c r="I23" s="23" t="s">
        <v>3</v>
      </c>
      <c r="J23" s="23" t="str">
        <f t="shared" si="0"/>
        <v>N/A</v>
      </c>
      <c r="K23" s="23" t="str">
        <f t="shared" si="1"/>
        <v>N/A</v>
      </c>
      <c r="L23" s="23" t="str">
        <f t="shared" si="2"/>
        <v>N/A</v>
      </c>
      <c r="M23" s="23" t="str">
        <f t="shared" si="3"/>
        <v>N/A</v>
      </c>
      <c r="N23" s="23">
        <f t="shared" si="4"/>
        <v>18</v>
      </c>
      <c r="O23" s="23">
        <f t="shared" si="5"/>
        <v>49</v>
      </c>
      <c r="P23" s="23">
        <f t="shared" si="6"/>
        <v>79</v>
      </c>
      <c r="Q23" s="23">
        <f t="shared" si="7"/>
        <v>110</v>
      </c>
      <c r="R23" s="23">
        <f t="shared" si="8"/>
        <v>141</v>
      </c>
      <c r="S23" s="23">
        <f t="shared" si="9"/>
        <v>171</v>
      </c>
      <c r="T23" s="23">
        <f t="shared" si="10"/>
        <v>202</v>
      </c>
      <c r="U23" s="8">
        <f t="shared" si="11"/>
        <v>232</v>
      </c>
      <c r="V23" s="8">
        <f t="shared" si="12"/>
        <v>263</v>
      </c>
      <c r="W23" s="103">
        <f t="shared" si="13"/>
        <v>294</v>
      </c>
      <c r="X23" s="103">
        <f t="shared" ca="1" si="14"/>
        <v>317</v>
      </c>
      <c r="Z23" s="103"/>
      <c r="AE23" s="15">
        <v>42795</v>
      </c>
      <c r="AF23" s="103">
        <v>42795</v>
      </c>
    </row>
    <row r="24" spans="1:32" x14ac:dyDescent="0.3">
      <c r="A24" s="8" t="s">
        <v>61</v>
      </c>
      <c r="C24" s="15">
        <v>42447</v>
      </c>
      <c r="D24" s="23"/>
      <c r="E24" s="23" t="s">
        <v>222</v>
      </c>
      <c r="F24" s="23" t="s">
        <v>114</v>
      </c>
      <c r="G24" s="15">
        <v>42670</v>
      </c>
      <c r="H24" s="23">
        <f ca="1">IF(OR(Age[[#This Row],[Closed?]]="Delivered", Age[[#This Row],[Closed?]]="Closed"), Age[[#This Row],[Delivered/Closed Date]]-Age[[#This Row],[Date Opened]], TODAY() - VLOOKUP(A24,'Age Data (Hidden)'!$A:$C,3,FALSE))</f>
        <v>223</v>
      </c>
      <c r="I24" s="23" t="s">
        <v>2</v>
      </c>
      <c r="J24" s="23" t="str">
        <f t="shared" si="0"/>
        <v>N/A</v>
      </c>
      <c r="K24" s="23" t="str">
        <f t="shared" si="1"/>
        <v>N/A</v>
      </c>
      <c r="L24" s="23" t="str">
        <f t="shared" si="2"/>
        <v>N/A</v>
      </c>
      <c r="M24" s="23">
        <f t="shared" si="3"/>
        <v>14</v>
      </c>
      <c r="N24" s="23">
        <f t="shared" si="4"/>
        <v>44</v>
      </c>
      <c r="O24" s="23">
        <f t="shared" si="5"/>
        <v>75</v>
      </c>
      <c r="P24" s="23">
        <f t="shared" si="6"/>
        <v>105</v>
      </c>
      <c r="Q24" s="23">
        <f t="shared" si="7"/>
        <v>136</v>
      </c>
      <c r="R24" s="23">
        <f t="shared" si="8"/>
        <v>167</v>
      </c>
      <c r="S24" s="23">
        <f t="shared" si="9"/>
        <v>197</v>
      </c>
      <c r="T24" s="23">
        <f t="shared" si="10"/>
        <v>223</v>
      </c>
      <c r="U24" s="8" t="str">
        <f t="shared" si="11"/>
        <v>N/A</v>
      </c>
      <c r="V24" s="8" t="str">
        <f t="shared" si="12"/>
        <v>N/A</v>
      </c>
      <c r="W24" s="103" t="str">
        <f t="shared" si="13"/>
        <v>N/A</v>
      </c>
      <c r="X24" s="103" t="str">
        <f t="shared" ca="1" si="14"/>
        <v>N/A</v>
      </c>
      <c r="Z24" s="103"/>
      <c r="AE24" s="15">
        <v>42826</v>
      </c>
      <c r="AF24" s="103">
        <v>42826</v>
      </c>
    </row>
    <row r="25" spans="1:32" x14ac:dyDescent="0.3">
      <c r="A25" s="8" t="s">
        <v>75</v>
      </c>
      <c r="B25" s="8" t="s">
        <v>237</v>
      </c>
      <c r="C25" s="15">
        <v>42482</v>
      </c>
      <c r="D25" s="23"/>
      <c r="E25" s="23" t="s">
        <v>220</v>
      </c>
      <c r="F25" s="23"/>
      <c r="G25" s="15"/>
      <c r="H25" s="23">
        <f ca="1">IF(OR(Age[[#This Row],[Closed?]]="Delivered", Age[[#This Row],[Closed?]]="Closed"), Age[[#This Row],[Delivered/Closed Date]]-Age[[#This Row],[Date Opened]], TODAY() - VLOOKUP(A25,'Age Data (Hidden)'!$A:$C,3,FALSE))</f>
        <v>308</v>
      </c>
      <c r="I25" s="23" t="s">
        <v>2</v>
      </c>
      <c r="J25" s="23" t="str">
        <f t="shared" si="0"/>
        <v>N/A</v>
      </c>
      <c r="K25" s="23" t="str">
        <f t="shared" si="1"/>
        <v>N/A</v>
      </c>
      <c r="L25" s="23" t="str">
        <f t="shared" si="2"/>
        <v>N/A</v>
      </c>
      <c r="M25" s="23" t="str">
        <f t="shared" si="3"/>
        <v>N/A</v>
      </c>
      <c r="N25" s="23">
        <f t="shared" si="4"/>
        <v>9</v>
      </c>
      <c r="O25" s="23">
        <f t="shared" si="5"/>
        <v>40</v>
      </c>
      <c r="P25" s="23">
        <f t="shared" si="6"/>
        <v>70</v>
      </c>
      <c r="Q25" s="23">
        <f t="shared" si="7"/>
        <v>101</v>
      </c>
      <c r="R25" s="23">
        <f t="shared" si="8"/>
        <v>132</v>
      </c>
      <c r="S25" s="23">
        <f t="shared" si="9"/>
        <v>162</v>
      </c>
      <c r="T25" s="23">
        <f t="shared" si="10"/>
        <v>193</v>
      </c>
      <c r="U25" s="8">
        <f t="shared" si="11"/>
        <v>223</v>
      </c>
      <c r="V25" s="8">
        <f t="shared" si="12"/>
        <v>254</v>
      </c>
      <c r="W25" s="103">
        <f t="shared" si="13"/>
        <v>285</v>
      </c>
      <c r="X25" s="103">
        <f t="shared" ca="1" si="14"/>
        <v>308</v>
      </c>
      <c r="Z25" s="103"/>
      <c r="AE25" s="15">
        <v>42856</v>
      </c>
      <c r="AF25" s="103">
        <v>42856</v>
      </c>
    </row>
    <row r="26" spans="1:32" x14ac:dyDescent="0.3">
      <c r="A26" s="8" t="s">
        <v>63</v>
      </c>
      <c r="C26" s="15">
        <v>42478</v>
      </c>
      <c r="D26" s="23"/>
      <c r="E26" s="23" t="s">
        <v>222</v>
      </c>
      <c r="F26" t="s">
        <v>229</v>
      </c>
      <c r="G26" s="15">
        <v>42607</v>
      </c>
      <c r="H26" s="23">
        <f ca="1">IF(OR(Age[[#This Row],[Closed?]]="Delivered", Age[[#This Row],[Closed?]]="Closed"), Age[[#This Row],[Delivered/Closed Date]]-Age[[#This Row],[Date Opened]], TODAY() - VLOOKUP(A26,'Age Data (Hidden)'!$A:$C,3,FALSE))</f>
        <v>129</v>
      </c>
      <c r="I26" s="23" t="s">
        <v>2</v>
      </c>
      <c r="J26" s="23" t="str">
        <f t="shared" si="0"/>
        <v>N/A</v>
      </c>
      <c r="K26" s="23" t="str">
        <f t="shared" si="1"/>
        <v>N/A</v>
      </c>
      <c r="L26" s="23" t="str">
        <f t="shared" si="2"/>
        <v>N/A</v>
      </c>
      <c r="M26" s="23" t="str">
        <f t="shared" si="3"/>
        <v>N/A</v>
      </c>
      <c r="N26" s="23">
        <f t="shared" si="4"/>
        <v>13</v>
      </c>
      <c r="O26" s="23">
        <f t="shared" si="5"/>
        <v>44</v>
      </c>
      <c r="P26" s="23">
        <f t="shared" si="6"/>
        <v>74</v>
      </c>
      <c r="Q26" s="23">
        <f t="shared" si="7"/>
        <v>105</v>
      </c>
      <c r="R26" s="23">
        <f t="shared" si="8"/>
        <v>129</v>
      </c>
      <c r="S26" s="23" t="str">
        <f t="shared" si="9"/>
        <v>N/A</v>
      </c>
      <c r="T26" s="23" t="str">
        <f t="shared" si="10"/>
        <v>N/A</v>
      </c>
      <c r="U26" s="8" t="str">
        <f t="shared" si="11"/>
        <v>N/A</v>
      </c>
      <c r="V26" s="8" t="str">
        <f t="shared" si="12"/>
        <v>N/A</v>
      </c>
      <c r="W26" s="103" t="str">
        <f t="shared" si="13"/>
        <v>N/A</v>
      </c>
      <c r="X26" s="103" t="str">
        <f t="shared" ca="1" si="14"/>
        <v>N/A</v>
      </c>
      <c r="Z26" s="103"/>
      <c r="AE26" s="15">
        <v>42887</v>
      </c>
      <c r="AF26" s="103">
        <v>42887</v>
      </c>
    </row>
    <row r="27" spans="1:32" x14ac:dyDescent="0.3">
      <c r="A27" s="8" t="s">
        <v>64</v>
      </c>
      <c r="C27" s="15">
        <v>42495</v>
      </c>
      <c r="D27" s="23"/>
      <c r="E27" s="23" t="s">
        <v>220</v>
      </c>
      <c r="F27" s="23"/>
      <c r="G27" s="15"/>
      <c r="H27" s="23">
        <f ca="1">IF(OR(Age[[#This Row],[Closed?]]="Delivered", Age[[#This Row],[Closed?]]="Closed"), Age[[#This Row],[Delivered/Closed Date]]-Age[[#This Row],[Date Opened]], TODAY() - VLOOKUP(A27,'Age Data (Hidden)'!$A:$C,3,FALSE))</f>
        <v>295</v>
      </c>
      <c r="I27" s="23"/>
      <c r="J27" s="23" t="str">
        <f t="shared" si="0"/>
        <v>N/A</v>
      </c>
      <c r="K27" s="23" t="str">
        <f t="shared" si="1"/>
        <v>N/A</v>
      </c>
      <c r="L27" s="23" t="str">
        <f t="shared" si="2"/>
        <v>N/A</v>
      </c>
      <c r="M27" s="23" t="str">
        <f t="shared" si="3"/>
        <v>N/A</v>
      </c>
      <c r="N27" s="23" t="str">
        <f t="shared" si="4"/>
        <v>N/A</v>
      </c>
      <c r="O27" s="23">
        <f t="shared" si="5"/>
        <v>27</v>
      </c>
      <c r="P27" s="23">
        <f t="shared" si="6"/>
        <v>57</v>
      </c>
      <c r="Q27" s="23">
        <f t="shared" si="7"/>
        <v>88</v>
      </c>
      <c r="R27" s="23">
        <f t="shared" si="8"/>
        <v>119</v>
      </c>
      <c r="S27" s="23">
        <f t="shared" si="9"/>
        <v>149</v>
      </c>
      <c r="T27" s="23">
        <f t="shared" si="10"/>
        <v>180</v>
      </c>
      <c r="U27" s="8">
        <f t="shared" si="11"/>
        <v>210</v>
      </c>
      <c r="V27" s="8">
        <f t="shared" si="12"/>
        <v>241</v>
      </c>
      <c r="W27" s="103">
        <f t="shared" si="13"/>
        <v>272</v>
      </c>
      <c r="X27" s="103">
        <f t="shared" ca="1" si="14"/>
        <v>295</v>
      </c>
      <c r="Z27" s="103"/>
      <c r="AE27" s="15">
        <v>42917</v>
      </c>
      <c r="AF27" s="103">
        <v>42917</v>
      </c>
    </row>
    <row r="28" spans="1:32" x14ac:dyDescent="0.3">
      <c r="A28" s="8" t="s">
        <v>67</v>
      </c>
      <c r="C28" s="15">
        <v>42439</v>
      </c>
      <c r="D28" s="23"/>
      <c r="E28" s="23" t="s">
        <v>222</v>
      </c>
      <c r="F28" s="23" t="s">
        <v>113</v>
      </c>
      <c r="G28" s="15">
        <v>42684</v>
      </c>
      <c r="H28" s="23">
        <f ca="1">IF(OR(Age[[#This Row],[Closed?]]="Delivered", Age[[#This Row],[Closed?]]="Closed"), Age[[#This Row],[Delivered/Closed Date]]-Age[[#This Row],[Date Opened]], TODAY() - VLOOKUP(A28,'Age Data (Hidden)'!$A:$C,3,FALSE))</f>
        <v>245</v>
      </c>
      <c r="I28" s="23" t="s">
        <v>3</v>
      </c>
      <c r="J28" s="23" t="str">
        <f t="shared" si="0"/>
        <v>N/A</v>
      </c>
      <c r="K28" s="23" t="str">
        <f t="shared" si="1"/>
        <v>N/A</v>
      </c>
      <c r="L28" s="23" t="str">
        <f t="shared" si="2"/>
        <v>N/A</v>
      </c>
      <c r="M28" s="23">
        <f t="shared" si="3"/>
        <v>22</v>
      </c>
      <c r="N28" s="23">
        <f t="shared" si="4"/>
        <v>52</v>
      </c>
      <c r="O28" s="23">
        <f t="shared" si="5"/>
        <v>83</v>
      </c>
      <c r="P28" s="23">
        <f t="shared" si="6"/>
        <v>113</v>
      </c>
      <c r="Q28" s="23">
        <f t="shared" si="7"/>
        <v>144</v>
      </c>
      <c r="R28" s="23">
        <f t="shared" si="8"/>
        <v>175</v>
      </c>
      <c r="S28" s="23">
        <f t="shared" si="9"/>
        <v>205</v>
      </c>
      <c r="T28" s="23">
        <f t="shared" si="10"/>
        <v>236</v>
      </c>
      <c r="U28" s="8">
        <f t="shared" si="11"/>
        <v>245</v>
      </c>
      <c r="V28" s="8" t="str">
        <f t="shared" si="12"/>
        <v>N/A</v>
      </c>
      <c r="W28" s="103" t="str">
        <f t="shared" si="13"/>
        <v>N/A</v>
      </c>
      <c r="X28" s="103" t="str">
        <f t="shared" ca="1" si="14"/>
        <v>N/A</v>
      </c>
      <c r="Z28" s="103"/>
      <c r="AE28" s="15">
        <v>42948</v>
      </c>
      <c r="AF28" s="103">
        <v>42948</v>
      </c>
    </row>
    <row r="29" spans="1:32" x14ac:dyDescent="0.3">
      <c r="A29" s="8" t="s">
        <v>70</v>
      </c>
      <c r="B29" s="8" t="s">
        <v>238</v>
      </c>
      <c r="C29" s="15">
        <v>42480</v>
      </c>
      <c r="D29" s="23"/>
      <c r="E29" s="23" t="s">
        <v>220</v>
      </c>
      <c r="F29" s="23"/>
      <c r="G29" s="15"/>
      <c r="H29" s="23">
        <f ca="1">IF(OR(Age[[#This Row],[Closed?]]="Delivered", Age[[#This Row],[Closed?]]="Closed"), Age[[#This Row],[Delivered/Closed Date]]-Age[[#This Row],[Date Opened]], TODAY() - VLOOKUP(A29,'Age Data (Hidden)'!$A:$C,3,FALSE))</f>
        <v>310</v>
      </c>
      <c r="I29" s="23"/>
      <c r="J29" s="23" t="str">
        <f t="shared" si="0"/>
        <v>N/A</v>
      </c>
      <c r="K29" s="23" t="str">
        <f t="shared" si="1"/>
        <v>N/A</v>
      </c>
      <c r="L29" s="23" t="str">
        <f t="shared" si="2"/>
        <v>N/A</v>
      </c>
      <c r="M29" s="23" t="str">
        <f t="shared" si="3"/>
        <v>N/A</v>
      </c>
      <c r="N29" s="23">
        <f t="shared" si="4"/>
        <v>11</v>
      </c>
      <c r="O29" s="23">
        <f t="shared" si="5"/>
        <v>42</v>
      </c>
      <c r="P29" s="23">
        <f t="shared" si="6"/>
        <v>72</v>
      </c>
      <c r="Q29" s="23">
        <f t="shared" si="7"/>
        <v>103</v>
      </c>
      <c r="R29" s="23">
        <f t="shared" si="8"/>
        <v>134</v>
      </c>
      <c r="S29" s="23">
        <f t="shared" si="9"/>
        <v>164</v>
      </c>
      <c r="T29" s="23">
        <f t="shared" si="10"/>
        <v>195</v>
      </c>
      <c r="U29" s="8">
        <f t="shared" si="11"/>
        <v>225</v>
      </c>
      <c r="V29" s="8">
        <f t="shared" si="12"/>
        <v>256</v>
      </c>
      <c r="W29" s="103">
        <f t="shared" si="13"/>
        <v>287</v>
      </c>
      <c r="X29" s="103">
        <f t="shared" ca="1" si="14"/>
        <v>310</v>
      </c>
      <c r="Z29" s="103"/>
      <c r="AE29" s="15">
        <v>42979</v>
      </c>
      <c r="AF29" s="103">
        <v>42979</v>
      </c>
    </row>
    <row r="30" spans="1:32" x14ac:dyDescent="0.3">
      <c r="A30" s="8" t="s">
        <v>71</v>
      </c>
      <c r="C30" s="15">
        <v>42500</v>
      </c>
      <c r="D30" s="23"/>
      <c r="E30" s="23" t="s">
        <v>222</v>
      </c>
      <c r="F30" t="s">
        <v>230</v>
      </c>
      <c r="G30" s="15">
        <v>42571</v>
      </c>
      <c r="H30" s="23">
        <f ca="1">IF(OR(Age[[#This Row],[Closed?]]="Delivered", Age[[#This Row],[Closed?]]="Closed"), Age[[#This Row],[Delivered/Closed Date]]-Age[[#This Row],[Date Opened]], TODAY() - VLOOKUP(A30,'Age Data (Hidden)'!$A:$C,3,FALSE))</f>
        <v>71</v>
      </c>
      <c r="I30" s="23" t="s">
        <v>2</v>
      </c>
      <c r="J30" s="23" t="str">
        <f t="shared" si="0"/>
        <v>N/A</v>
      </c>
      <c r="K30" s="23" t="str">
        <f t="shared" si="1"/>
        <v>N/A</v>
      </c>
      <c r="L30" s="23" t="str">
        <f t="shared" si="2"/>
        <v>N/A</v>
      </c>
      <c r="M30" s="23" t="str">
        <f t="shared" si="3"/>
        <v>N/A</v>
      </c>
      <c r="N30" s="23" t="str">
        <f t="shared" si="4"/>
        <v>N/A</v>
      </c>
      <c r="O30" s="23">
        <f t="shared" si="5"/>
        <v>22</v>
      </c>
      <c r="P30" s="23">
        <f t="shared" si="6"/>
        <v>52</v>
      </c>
      <c r="Q30" s="23">
        <f t="shared" si="7"/>
        <v>71</v>
      </c>
      <c r="R30" s="23" t="str">
        <f t="shared" si="8"/>
        <v>N/A</v>
      </c>
      <c r="S30" s="23" t="str">
        <f t="shared" si="9"/>
        <v>N/A</v>
      </c>
      <c r="T30" s="23" t="str">
        <f t="shared" si="10"/>
        <v>N/A</v>
      </c>
      <c r="U30" s="8" t="str">
        <f t="shared" si="11"/>
        <v>N/A</v>
      </c>
      <c r="V30" s="8" t="str">
        <f t="shared" si="12"/>
        <v>N/A</v>
      </c>
      <c r="W30" s="103" t="str">
        <f t="shared" si="13"/>
        <v>N/A</v>
      </c>
      <c r="X30" s="103" t="str">
        <f t="shared" ca="1" si="14"/>
        <v>N/A</v>
      </c>
      <c r="Z30" s="103"/>
      <c r="AE30" s="15">
        <v>43009</v>
      </c>
      <c r="AF30" s="103">
        <v>43009</v>
      </c>
    </row>
    <row r="31" spans="1:32" x14ac:dyDescent="0.3">
      <c r="A31" s="8" t="s">
        <v>72</v>
      </c>
      <c r="C31" s="15">
        <v>42479</v>
      </c>
      <c r="D31" s="23"/>
      <c r="E31" s="23" t="s">
        <v>220</v>
      </c>
      <c r="F31" s="23"/>
      <c r="G31" s="15"/>
      <c r="H31" s="23">
        <f ca="1">IF(OR(Age[[#This Row],[Closed?]]="Delivered", Age[[#This Row],[Closed?]]="Closed"), Age[[#This Row],[Delivered/Closed Date]]-Age[[#This Row],[Date Opened]], TODAY() - VLOOKUP(A31,'Age Data (Hidden)'!$A:$C,3,FALSE))</f>
        <v>311</v>
      </c>
      <c r="I31" s="23"/>
      <c r="J31" s="23" t="str">
        <f t="shared" si="0"/>
        <v>N/A</v>
      </c>
      <c r="K31" s="23" t="str">
        <f t="shared" si="1"/>
        <v>N/A</v>
      </c>
      <c r="L31" s="23" t="str">
        <f t="shared" si="2"/>
        <v>N/A</v>
      </c>
      <c r="M31" s="23" t="str">
        <f t="shared" si="3"/>
        <v>N/A</v>
      </c>
      <c r="N31" s="23">
        <f t="shared" si="4"/>
        <v>12</v>
      </c>
      <c r="O31" s="23">
        <f t="shared" si="5"/>
        <v>43</v>
      </c>
      <c r="P31" s="23">
        <f t="shared" si="6"/>
        <v>73</v>
      </c>
      <c r="Q31" s="23">
        <f t="shared" si="7"/>
        <v>104</v>
      </c>
      <c r="R31" s="23">
        <f t="shared" si="8"/>
        <v>135</v>
      </c>
      <c r="S31" s="23">
        <f t="shared" si="9"/>
        <v>165</v>
      </c>
      <c r="T31" s="23">
        <f t="shared" si="10"/>
        <v>196</v>
      </c>
      <c r="U31" s="8">
        <f t="shared" si="11"/>
        <v>226</v>
      </c>
      <c r="V31" s="8">
        <f t="shared" si="12"/>
        <v>257</v>
      </c>
      <c r="W31" s="103">
        <f t="shared" si="13"/>
        <v>288</v>
      </c>
      <c r="X31" s="103">
        <f t="shared" ca="1" si="14"/>
        <v>311</v>
      </c>
      <c r="Z31" s="103"/>
      <c r="AE31" s="15">
        <v>43040</v>
      </c>
      <c r="AF31" s="103">
        <v>43040</v>
      </c>
    </row>
    <row r="32" spans="1:32" x14ac:dyDescent="0.3">
      <c r="A32" s="8" t="s">
        <v>74</v>
      </c>
      <c r="C32" s="15">
        <v>42465</v>
      </c>
      <c r="D32" s="23"/>
      <c r="E32" s="23" t="s">
        <v>220</v>
      </c>
      <c r="F32" s="23"/>
      <c r="G32" s="15"/>
      <c r="H32" s="23">
        <f ca="1">IF(OR(Age[[#This Row],[Closed?]]="Delivered", Age[[#This Row],[Closed?]]="Closed"), Age[[#This Row],[Delivered/Closed Date]]-Age[[#This Row],[Date Opened]], TODAY() - VLOOKUP(A32,'Age Data (Hidden)'!$A:$C,3,FALSE))</f>
        <v>325</v>
      </c>
      <c r="I32" s="23" t="s">
        <v>3</v>
      </c>
      <c r="J32" s="23" t="str">
        <f t="shared" si="0"/>
        <v>N/A</v>
      </c>
      <c r="K32" s="23" t="str">
        <f t="shared" si="1"/>
        <v>N/A</v>
      </c>
      <c r="L32" s="23" t="str">
        <f t="shared" si="2"/>
        <v>N/A</v>
      </c>
      <c r="M32" s="23" t="str">
        <f t="shared" si="3"/>
        <v>N/A</v>
      </c>
      <c r="N32" s="23">
        <f t="shared" si="4"/>
        <v>26</v>
      </c>
      <c r="O32" s="23">
        <f t="shared" si="5"/>
        <v>57</v>
      </c>
      <c r="P32" s="23">
        <f t="shared" si="6"/>
        <v>87</v>
      </c>
      <c r="Q32" s="23">
        <f t="shared" si="7"/>
        <v>118</v>
      </c>
      <c r="R32" s="23">
        <f t="shared" si="8"/>
        <v>149</v>
      </c>
      <c r="S32" s="23">
        <f t="shared" si="9"/>
        <v>179</v>
      </c>
      <c r="T32" s="23">
        <f t="shared" si="10"/>
        <v>210</v>
      </c>
      <c r="U32" s="8">
        <f t="shared" si="11"/>
        <v>240</v>
      </c>
      <c r="V32" s="8">
        <f t="shared" si="12"/>
        <v>271</v>
      </c>
      <c r="W32" s="103">
        <f t="shared" si="13"/>
        <v>302</v>
      </c>
      <c r="X32" s="103">
        <f t="shared" ca="1" si="14"/>
        <v>325</v>
      </c>
      <c r="Z32" s="103"/>
      <c r="AE32" s="15">
        <v>43070</v>
      </c>
      <c r="AF32" s="103">
        <v>43070</v>
      </c>
    </row>
    <row r="33" spans="1:26" x14ac:dyDescent="0.3">
      <c r="A33" s="8" t="s">
        <v>82</v>
      </c>
      <c r="B33" s="8" t="s">
        <v>237</v>
      </c>
      <c r="C33" s="15">
        <v>42488</v>
      </c>
      <c r="D33" s="23"/>
      <c r="E33" s="23" t="s">
        <v>220</v>
      </c>
      <c r="F33" s="23"/>
      <c r="G33" s="15"/>
      <c r="H33" s="23">
        <f ca="1">IF(OR(Age[[#This Row],[Closed?]]="Delivered", Age[[#This Row],[Closed?]]="Closed"), Age[[#This Row],[Delivered/Closed Date]]-Age[[#This Row],[Date Opened]], TODAY() - VLOOKUP(A33,'Age Data (Hidden)'!$A:$C,3,FALSE))</f>
        <v>302</v>
      </c>
      <c r="I33" s="23" t="s">
        <v>2</v>
      </c>
      <c r="J33" s="23" t="str">
        <f t="shared" si="0"/>
        <v>N/A</v>
      </c>
      <c r="K33" s="23" t="str">
        <f t="shared" si="1"/>
        <v>N/A</v>
      </c>
      <c r="L33" s="23" t="str">
        <f t="shared" si="2"/>
        <v>N/A</v>
      </c>
      <c r="M33" s="23" t="str">
        <f t="shared" si="3"/>
        <v>N/A</v>
      </c>
      <c r="N33" s="23">
        <f t="shared" si="4"/>
        <v>3</v>
      </c>
      <c r="O33" s="23">
        <f t="shared" si="5"/>
        <v>34</v>
      </c>
      <c r="P33" s="23">
        <f t="shared" si="6"/>
        <v>64</v>
      </c>
      <c r="Q33" s="23">
        <f t="shared" si="7"/>
        <v>95</v>
      </c>
      <c r="R33" s="23">
        <f t="shared" si="8"/>
        <v>126</v>
      </c>
      <c r="S33" s="23">
        <f t="shared" si="9"/>
        <v>156</v>
      </c>
      <c r="T33" s="23">
        <f t="shared" si="10"/>
        <v>187</v>
      </c>
      <c r="U33" s="8">
        <f t="shared" si="11"/>
        <v>217</v>
      </c>
      <c r="V33" s="8">
        <f t="shared" si="12"/>
        <v>248</v>
      </c>
      <c r="W33" s="103">
        <f t="shared" si="13"/>
        <v>279</v>
      </c>
      <c r="X33" s="103">
        <f t="shared" ca="1" si="14"/>
        <v>302</v>
      </c>
      <c r="Z33" s="103"/>
    </row>
    <row r="34" spans="1:26" x14ac:dyDescent="0.3">
      <c r="A34" s="8" t="s">
        <v>83</v>
      </c>
      <c r="B34" s="8" t="s">
        <v>237</v>
      </c>
      <c r="C34" s="15">
        <v>42508</v>
      </c>
      <c r="D34" s="23"/>
      <c r="E34" s="23" t="s">
        <v>220</v>
      </c>
      <c r="F34" s="23"/>
      <c r="G34" s="15"/>
      <c r="H34" s="23">
        <f ca="1">IF(OR(Age[[#This Row],[Closed?]]="Delivered", Age[[#This Row],[Closed?]]="Closed"), Age[[#This Row],[Delivered/Closed Date]]-Age[[#This Row],[Date Opened]], TODAY() - VLOOKUP(A34,'Age Data (Hidden)'!$A:$C,3,FALSE))</f>
        <v>282</v>
      </c>
      <c r="I34" s="23" t="s">
        <v>2</v>
      </c>
      <c r="J34" s="23" t="str">
        <f t="shared" ref="J34:J67" si="15">IF($C34&lt;42370,IF($G34&lt;&gt;"", IF($G34&lt;42370,"N/A", IF($G34 &lt;42370,$G34-$C34,42370-$C34)),42370-$C34), "N/A")</f>
        <v>N/A</v>
      </c>
      <c r="K34" s="23" t="str">
        <f t="shared" ref="K34:K67" si="16">IF($C34&lt;42401,IF($G34&lt;&gt;"", IF($G34&lt;42370,"N/A", IF($G34 &lt;42401,$G34-$C34,42401-$C34)),42401-$C34), "N/A")</f>
        <v>N/A</v>
      </c>
      <c r="L34" s="23" t="str">
        <f t="shared" ref="L34:L67" si="17">IF($C34&lt;42430,IF($G34&lt;&gt;"", IF($G34&lt;42401,"N/A", IF($G34 &lt;42430,$G34-$C34,42430-$C34)),42430-$C34), "N/A")</f>
        <v>N/A</v>
      </c>
      <c r="M34" s="23" t="str">
        <f t="shared" ref="M34:M67" si="18">IF($C34&lt;42461,IF($G34&lt;&gt;"", IF($G34&lt;42430,"N/A", IF($G34 &lt;42461,$G34-$C34,42461-$C34)),42461-$C34), "N/A")</f>
        <v>N/A</v>
      </c>
      <c r="N34" s="23" t="str">
        <f t="shared" ref="N34:N67" si="19">IF($C34&lt;42491,IF($G34&lt;&gt;"", IF($G34&lt;42461,"N/A", IF($G34 &lt;42491,$G34-$C34,42491-$C34)),42491-$C34), "N/A")</f>
        <v>N/A</v>
      </c>
      <c r="O34" s="23">
        <f t="shared" ref="O34:O67" si="20">IF($C34&lt;42522,IF($G34&lt;&gt;"", IF($G34&lt;42491,"N/A", IF($G34 &lt;42522,$G34-$C34,42522-$C34)),42522-$C34), "N/A")</f>
        <v>14</v>
      </c>
      <c r="P34" s="23">
        <f t="shared" ref="P34:P67" si="21">IF($C34&lt;42552,IF($G34&lt;&gt;"", IF($G34&lt;42522,"N/A", IF($G34 &lt;42552,$G34-$C34,42552-$C34)),42552-$C34), "N/A")</f>
        <v>44</v>
      </c>
      <c r="Q34" s="23">
        <f t="shared" ref="Q34:Q67" si="22">IF($C34&lt;42583,IF($G34&lt;&gt;"", IF($G34&lt;42552,"N/A", IF($G34 &lt;42583,$G34-$C34,42583-$C34)),42583-$C34), "N/A")</f>
        <v>75</v>
      </c>
      <c r="R34" s="23">
        <f t="shared" ref="R34:R67" si="23">IF($C34&lt;42614,IF($G34&lt;&gt;"", IF($G34&lt;42583,"N/A", IF($G34 &lt;42614,$G34-$C34,42614-$C34)),42614-$C34), "N/A")</f>
        <v>106</v>
      </c>
      <c r="S34" s="23">
        <f t="shared" ref="S34:S67" si="24">IF($C34&lt;42644,IF($G34&lt;&gt;"", IF($G34&lt;42614,"N/A", IF($G34 &lt;42644,$G34-$C34,42644-$C34)),42644-$C34), "N/A")</f>
        <v>136</v>
      </c>
      <c r="T34" s="23">
        <f t="shared" ref="T34:T67" si="25">IF($C34&lt;42675,IF($G34&lt;&gt;"", IF($G34&lt;42644,"N/A", IF($G34 &lt;42675,$G34-$C34,42675-$C34)),42675-$C34), "N/A")</f>
        <v>167</v>
      </c>
      <c r="U34" s="8">
        <f t="shared" ref="U34:U65" si="26">IF($C34&lt;42705,IF($G34&lt;&gt;"", IF($G34&lt;42675,"N/A", IF($G34 &lt;42705,$G34-$C34,42705-$C34)),42705-$C34), "N/A")</f>
        <v>197</v>
      </c>
      <c r="V34" s="8">
        <f t="shared" ref="V34:V65" si="27">IF($C34&lt;42736,IF($G34&lt;&gt;"", IF($G34&lt;42705,"N/A", IF($G34 &lt;42736,$G34-$C34,42736-$C34)),42736-$C34), "N/A")</f>
        <v>228</v>
      </c>
      <c r="W34" s="103">
        <f t="shared" si="13"/>
        <v>259</v>
      </c>
      <c r="X34" s="103">
        <f t="shared" ca="1" si="14"/>
        <v>282</v>
      </c>
    </row>
    <row r="35" spans="1:26" x14ac:dyDescent="0.3">
      <c r="A35" s="8" t="s">
        <v>90</v>
      </c>
      <c r="C35" s="15">
        <v>41901</v>
      </c>
      <c r="D35" s="23"/>
      <c r="E35" s="23" t="s">
        <v>222</v>
      </c>
      <c r="F35" s="23" t="s">
        <v>114</v>
      </c>
      <c r="G35" s="15">
        <v>42670</v>
      </c>
      <c r="H35" s="23">
        <f ca="1">IF(OR(Age[[#This Row],[Closed?]]="Delivered", Age[[#This Row],[Closed?]]="Closed"), Age[[#This Row],[Delivered/Closed Date]]-Age[[#This Row],[Date Opened]], TODAY() - VLOOKUP(A35,'Age Data (Hidden)'!$A:$C,3,FALSE))</f>
        <v>769</v>
      </c>
      <c r="I35" s="23" t="s">
        <v>2</v>
      </c>
      <c r="J35" s="23">
        <f t="shared" si="15"/>
        <v>469</v>
      </c>
      <c r="K35" s="23">
        <f t="shared" si="16"/>
        <v>500</v>
      </c>
      <c r="L35" s="23">
        <f t="shared" si="17"/>
        <v>529</v>
      </c>
      <c r="M35" s="23">
        <f t="shared" si="18"/>
        <v>560</v>
      </c>
      <c r="N35" s="23">
        <f t="shared" si="19"/>
        <v>590</v>
      </c>
      <c r="O35" s="23">
        <f t="shared" si="20"/>
        <v>621</v>
      </c>
      <c r="P35" s="23">
        <f t="shared" si="21"/>
        <v>651</v>
      </c>
      <c r="Q35" s="23">
        <f t="shared" si="22"/>
        <v>682</v>
      </c>
      <c r="R35" s="23">
        <f t="shared" si="23"/>
        <v>713</v>
      </c>
      <c r="S35" s="23">
        <f t="shared" si="24"/>
        <v>743</v>
      </c>
      <c r="T35" s="23">
        <f t="shared" si="25"/>
        <v>769</v>
      </c>
      <c r="U35" s="8" t="str">
        <f t="shared" si="26"/>
        <v>N/A</v>
      </c>
      <c r="V35" s="8" t="str">
        <f t="shared" si="27"/>
        <v>N/A</v>
      </c>
      <c r="W35" s="103" t="str">
        <f t="shared" si="13"/>
        <v>N/A</v>
      </c>
      <c r="X35" s="103" t="str">
        <f t="shared" ca="1" si="14"/>
        <v>N/A</v>
      </c>
    </row>
    <row r="36" spans="1:26" x14ac:dyDescent="0.3">
      <c r="A36" s="8" t="s">
        <v>87</v>
      </c>
      <c r="B36" s="8" t="s">
        <v>237</v>
      </c>
      <c r="C36" s="15">
        <v>41901</v>
      </c>
      <c r="D36" s="23"/>
      <c r="E36" s="23" t="s">
        <v>220</v>
      </c>
      <c r="F36" s="23"/>
      <c r="G36" s="15"/>
      <c r="H36" s="23">
        <f ca="1">IF(OR(Age[[#This Row],[Closed?]]="Delivered", Age[[#This Row],[Closed?]]="Closed"), Age[[#This Row],[Delivered/Closed Date]]-Age[[#This Row],[Date Opened]], TODAY() - VLOOKUP(A36,'Age Data (Hidden)'!$A:$C,3,FALSE))</f>
        <v>889</v>
      </c>
      <c r="I36" s="23"/>
      <c r="J36" s="23">
        <f t="shared" si="15"/>
        <v>469</v>
      </c>
      <c r="K36" s="23">
        <f t="shared" si="16"/>
        <v>500</v>
      </c>
      <c r="L36" s="23">
        <f t="shared" si="17"/>
        <v>529</v>
      </c>
      <c r="M36" s="23">
        <f t="shared" si="18"/>
        <v>560</v>
      </c>
      <c r="N36" s="23">
        <f t="shared" si="19"/>
        <v>590</v>
      </c>
      <c r="O36" s="23">
        <f t="shared" si="20"/>
        <v>621</v>
      </c>
      <c r="P36" s="23">
        <f t="shared" si="21"/>
        <v>651</v>
      </c>
      <c r="Q36" s="23">
        <f t="shared" si="22"/>
        <v>682</v>
      </c>
      <c r="R36" s="23">
        <f t="shared" si="23"/>
        <v>713</v>
      </c>
      <c r="S36" s="23">
        <f t="shared" si="24"/>
        <v>743</v>
      </c>
      <c r="T36" s="23">
        <f t="shared" si="25"/>
        <v>774</v>
      </c>
      <c r="U36" s="8">
        <f t="shared" si="26"/>
        <v>804</v>
      </c>
      <c r="V36" s="8">
        <f t="shared" si="27"/>
        <v>835</v>
      </c>
      <c r="W36" s="103">
        <f t="shared" si="13"/>
        <v>866</v>
      </c>
      <c r="X36" s="103">
        <f t="shared" ca="1" si="14"/>
        <v>889</v>
      </c>
    </row>
    <row r="37" spans="1:26" x14ac:dyDescent="0.3">
      <c r="A37" s="8" t="s">
        <v>89</v>
      </c>
      <c r="B37" s="8" t="s">
        <v>237</v>
      </c>
      <c r="C37" s="15">
        <v>41901</v>
      </c>
      <c r="D37" s="23"/>
      <c r="E37" s="23" t="s">
        <v>220</v>
      </c>
      <c r="F37" s="23"/>
      <c r="G37" s="15"/>
      <c r="H37" s="23">
        <f ca="1">IF(OR(Age[[#This Row],[Closed?]]="Delivered", Age[[#This Row],[Closed?]]="Closed"), Age[[#This Row],[Delivered/Closed Date]]-Age[[#This Row],[Date Opened]], TODAY() - VLOOKUP(A37,'Age Data (Hidden)'!$A:$C,3,FALSE))</f>
        <v>889</v>
      </c>
      <c r="I37" s="23"/>
      <c r="J37" s="23">
        <f t="shared" si="15"/>
        <v>469</v>
      </c>
      <c r="K37" s="23">
        <f t="shared" si="16"/>
        <v>500</v>
      </c>
      <c r="L37" s="23">
        <f t="shared" si="17"/>
        <v>529</v>
      </c>
      <c r="M37" s="23">
        <f t="shared" si="18"/>
        <v>560</v>
      </c>
      <c r="N37" s="23">
        <f t="shared" si="19"/>
        <v>590</v>
      </c>
      <c r="O37" s="23">
        <f t="shared" si="20"/>
        <v>621</v>
      </c>
      <c r="P37" s="23">
        <f t="shared" si="21"/>
        <v>651</v>
      </c>
      <c r="Q37" s="23">
        <f t="shared" si="22"/>
        <v>682</v>
      </c>
      <c r="R37" s="23">
        <f t="shared" si="23"/>
        <v>713</v>
      </c>
      <c r="S37" s="23">
        <f t="shared" si="24"/>
        <v>743</v>
      </c>
      <c r="T37" s="23">
        <f t="shared" si="25"/>
        <v>774</v>
      </c>
      <c r="U37" s="8">
        <f t="shared" si="26"/>
        <v>804</v>
      </c>
      <c r="V37" s="8">
        <f t="shared" si="27"/>
        <v>835</v>
      </c>
      <c r="W37" s="103">
        <f t="shared" si="13"/>
        <v>866</v>
      </c>
      <c r="X37" s="103">
        <f t="shared" ca="1" si="14"/>
        <v>889</v>
      </c>
    </row>
    <row r="38" spans="1:26" x14ac:dyDescent="0.3">
      <c r="A38" s="8" t="s">
        <v>93</v>
      </c>
      <c r="C38" s="15">
        <v>41901</v>
      </c>
      <c r="D38" s="23"/>
      <c r="E38" s="23" t="s">
        <v>150</v>
      </c>
      <c r="F38" s="23" t="s">
        <v>317</v>
      </c>
      <c r="G38" s="15">
        <v>42696</v>
      </c>
      <c r="H38" s="23">
        <f ca="1">IF(OR(Age[[#This Row],[Closed?]]="Delivered", Age[[#This Row],[Closed?]]="Closed"), Age[[#This Row],[Delivered/Closed Date]]-Age[[#This Row],[Date Opened]], TODAY() - VLOOKUP(A38,'Age Data (Hidden)'!$A:$C,3,FALSE))</f>
        <v>795</v>
      </c>
      <c r="I38" s="23"/>
      <c r="J38" s="23">
        <f t="shared" si="15"/>
        <v>469</v>
      </c>
      <c r="K38" s="23">
        <f t="shared" si="16"/>
        <v>500</v>
      </c>
      <c r="L38" s="23">
        <f t="shared" si="17"/>
        <v>529</v>
      </c>
      <c r="M38" s="23">
        <f t="shared" si="18"/>
        <v>560</v>
      </c>
      <c r="N38" s="23">
        <f t="shared" si="19"/>
        <v>590</v>
      </c>
      <c r="O38" s="23">
        <f t="shared" si="20"/>
        <v>621</v>
      </c>
      <c r="P38" s="23">
        <f t="shared" si="21"/>
        <v>651</v>
      </c>
      <c r="Q38" s="23">
        <f t="shared" si="22"/>
        <v>682</v>
      </c>
      <c r="R38" s="23">
        <f t="shared" si="23"/>
        <v>713</v>
      </c>
      <c r="S38" s="23">
        <f t="shared" si="24"/>
        <v>743</v>
      </c>
      <c r="T38" s="23">
        <f t="shared" si="25"/>
        <v>774</v>
      </c>
      <c r="U38" s="8">
        <f t="shared" si="26"/>
        <v>795</v>
      </c>
      <c r="V38" s="8" t="str">
        <f t="shared" si="27"/>
        <v>N/A</v>
      </c>
      <c r="W38" s="103" t="str">
        <f t="shared" si="13"/>
        <v>N/A</v>
      </c>
      <c r="X38" s="103" t="str">
        <f t="shared" ca="1" si="14"/>
        <v>N/A</v>
      </c>
    </row>
    <row r="39" spans="1:26" x14ac:dyDescent="0.3">
      <c r="A39" s="8" t="s">
        <v>94</v>
      </c>
      <c r="C39" s="15">
        <v>41939</v>
      </c>
      <c r="D39" s="23"/>
      <c r="E39" s="23" t="s">
        <v>150</v>
      </c>
      <c r="F39" s="23" t="s">
        <v>326</v>
      </c>
      <c r="G39" s="15">
        <v>42711</v>
      </c>
      <c r="H39" s="23">
        <f ca="1">IF(OR(Age[[#This Row],[Closed?]]="Delivered", Age[[#This Row],[Closed?]]="Closed"), Age[[#This Row],[Delivered/Closed Date]]-Age[[#This Row],[Date Opened]], TODAY() - VLOOKUP(A39,'Age Data (Hidden)'!$A:$C,3,FALSE))</f>
        <v>772</v>
      </c>
      <c r="I39" s="23"/>
      <c r="J39" s="23">
        <f t="shared" si="15"/>
        <v>431</v>
      </c>
      <c r="K39" s="23">
        <f t="shared" si="16"/>
        <v>462</v>
      </c>
      <c r="L39" s="23">
        <f t="shared" si="17"/>
        <v>491</v>
      </c>
      <c r="M39" s="23">
        <f t="shared" si="18"/>
        <v>522</v>
      </c>
      <c r="N39" s="23">
        <f t="shared" si="19"/>
        <v>552</v>
      </c>
      <c r="O39" s="23">
        <f t="shared" si="20"/>
        <v>583</v>
      </c>
      <c r="P39" s="23">
        <f t="shared" si="21"/>
        <v>613</v>
      </c>
      <c r="Q39" s="23">
        <f t="shared" si="22"/>
        <v>644</v>
      </c>
      <c r="R39" s="23">
        <f t="shared" si="23"/>
        <v>675</v>
      </c>
      <c r="S39" s="23">
        <f t="shared" si="24"/>
        <v>705</v>
      </c>
      <c r="T39" s="23">
        <f t="shared" si="25"/>
        <v>736</v>
      </c>
      <c r="U39" s="8">
        <f t="shared" si="26"/>
        <v>766</v>
      </c>
      <c r="V39" s="8">
        <f t="shared" si="27"/>
        <v>772</v>
      </c>
      <c r="W39" s="103" t="str">
        <f t="shared" si="13"/>
        <v>N/A</v>
      </c>
      <c r="X39" s="103" t="str">
        <f t="shared" ca="1" si="14"/>
        <v>N/A</v>
      </c>
    </row>
    <row r="40" spans="1:26" x14ac:dyDescent="0.3">
      <c r="A40" s="8" t="s">
        <v>99</v>
      </c>
      <c r="C40" s="15">
        <v>42521</v>
      </c>
      <c r="D40" s="23"/>
      <c r="E40" s="23" t="s">
        <v>222</v>
      </c>
      <c r="F40" t="s">
        <v>228</v>
      </c>
      <c r="G40" s="15">
        <v>42579</v>
      </c>
      <c r="H40" s="23">
        <f ca="1">IF(OR(Age[[#This Row],[Closed?]]="Delivered", Age[[#This Row],[Closed?]]="Closed"), Age[[#This Row],[Delivered/Closed Date]]-Age[[#This Row],[Date Opened]], TODAY() - VLOOKUP(A40,'Age Data (Hidden)'!$A:$C,3,FALSE))</f>
        <v>58</v>
      </c>
      <c r="I40" s="23" t="s">
        <v>3</v>
      </c>
      <c r="J40" s="23" t="str">
        <f t="shared" si="15"/>
        <v>N/A</v>
      </c>
      <c r="K40" s="23" t="str">
        <f t="shared" si="16"/>
        <v>N/A</v>
      </c>
      <c r="L40" s="23" t="str">
        <f t="shared" si="17"/>
        <v>N/A</v>
      </c>
      <c r="M40" s="23" t="str">
        <f t="shared" si="18"/>
        <v>N/A</v>
      </c>
      <c r="N40" s="23" t="str">
        <f t="shared" si="19"/>
        <v>N/A</v>
      </c>
      <c r="O40" s="23">
        <f t="shared" si="20"/>
        <v>1</v>
      </c>
      <c r="P40" s="23">
        <f t="shared" si="21"/>
        <v>31</v>
      </c>
      <c r="Q40" s="23">
        <f t="shared" si="22"/>
        <v>58</v>
      </c>
      <c r="R40" s="23" t="str">
        <f t="shared" si="23"/>
        <v>N/A</v>
      </c>
      <c r="S40" s="23" t="str">
        <f t="shared" si="24"/>
        <v>N/A</v>
      </c>
      <c r="T40" s="23" t="str">
        <f t="shared" si="25"/>
        <v>N/A</v>
      </c>
      <c r="U40" s="8" t="str">
        <f t="shared" si="26"/>
        <v>N/A</v>
      </c>
      <c r="V40" s="8" t="str">
        <f t="shared" si="27"/>
        <v>N/A</v>
      </c>
      <c r="W40" s="103" t="str">
        <f t="shared" si="13"/>
        <v>N/A</v>
      </c>
      <c r="X40" s="103" t="str">
        <f t="shared" ca="1" si="14"/>
        <v>N/A</v>
      </c>
    </row>
    <row r="41" spans="1:26" x14ac:dyDescent="0.3">
      <c r="A41" s="8" t="s">
        <v>103</v>
      </c>
      <c r="C41" s="15">
        <v>42515</v>
      </c>
      <c r="D41" s="23"/>
      <c r="E41" s="23" t="s">
        <v>222</v>
      </c>
      <c r="F41" t="s">
        <v>228</v>
      </c>
      <c r="G41" s="15">
        <v>42579</v>
      </c>
      <c r="H41" s="23">
        <f ca="1">IF(OR(Age[[#This Row],[Closed?]]="Delivered", Age[[#This Row],[Closed?]]="Closed"), Age[[#This Row],[Delivered/Closed Date]]-Age[[#This Row],[Date Opened]], TODAY() - VLOOKUP(A41,'Age Data (Hidden)'!$A:$C,3,FALSE))</f>
        <v>64</v>
      </c>
      <c r="I41" s="23" t="s">
        <v>3</v>
      </c>
      <c r="J41" s="23" t="str">
        <f t="shared" si="15"/>
        <v>N/A</v>
      </c>
      <c r="K41" s="23" t="str">
        <f t="shared" si="16"/>
        <v>N/A</v>
      </c>
      <c r="L41" s="23" t="str">
        <f t="shared" si="17"/>
        <v>N/A</v>
      </c>
      <c r="M41" s="23" t="str">
        <f t="shared" si="18"/>
        <v>N/A</v>
      </c>
      <c r="N41" s="23" t="str">
        <f t="shared" si="19"/>
        <v>N/A</v>
      </c>
      <c r="O41" s="23">
        <f t="shared" si="20"/>
        <v>7</v>
      </c>
      <c r="P41" s="23">
        <f t="shared" si="21"/>
        <v>37</v>
      </c>
      <c r="Q41" s="23">
        <f t="shared" si="22"/>
        <v>64</v>
      </c>
      <c r="R41" s="23" t="str">
        <f t="shared" si="23"/>
        <v>N/A</v>
      </c>
      <c r="S41" s="23" t="str">
        <f t="shared" si="24"/>
        <v>N/A</v>
      </c>
      <c r="T41" s="23" t="str">
        <f t="shared" si="25"/>
        <v>N/A</v>
      </c>
      <c r="U41" s="8" t="str">
        <f t="shared" si="26"/>
        <v>N/A</v>
      </c>
      <c r="V41" s="8" t="str">
        <f t="shared" si="27"/>
        <v>N/A</v>
      </c>
      <c r="W41" s="103" t="str">
        <f t="shared" si="13"/>
        <v>N/A</v>
      </c>
      <c r="X41" s="103" t="str">
        <f t="shared" ca="1" si="14"/>
        <v>N/A</v>
      </c>
    </row>
    <row r="42" spans="1:26" x14ac:dyDescent="0.3">
      <c r="A42" s="8" t="s">
        <v>133</v>
      </c>
      <c r="B42" s="8" t="s">
        <v>237</v>
      </c>
      <c r="C42" s="15">
        <v>42594</v>
      </c>
      <c r="D42" s="23">
        <v>34688</v>
      </c>
      <c r="E42" s="23" t="s">
        <v>220</v>
      </c>
      <c r="F42" s="23"/>
      <c r="G42" s="15"/>
      <c r="H42" s="23">
        <f ca="1">IF(OR(Age[[#This Row],[Closed?]]="Delivered", Age[[#This Row],[Closed?]]="Closed"), Age[[#This Row],[Delivered/Closed Date]]-Age[[#This Row],[Date Opened]], TODAY() - VLOOKUP(A42,'Age Data (Hidden)'!$A:$C,3,FALSE))</f>
        <v>196</v>
      </c>
      <c r="I42" s="23" t="s">
        <v>3</v>
      </c>
      <c r="J42" s="23" t="str">
        <f t="shared" si="15"/>
        <v>N/A</v>
      </c>
      <c r="K42" s="23" t="str">
        <f t="shared" si="16"/>
        <v>N/A</v>
      </c>
      <c r="L42" s="23" t="str">
        <f t="shared" si="17"/>
        <v>N/A</v>
      </c>
      <c r="M42" s="23" t="str">
        <f t="shared" si="18"/>
        <v>N/A</v>
      </c>
      <c r="N42" s="23" t="str">
        <f t="shared" si="19"/>
        <v>N/A</v>
      </c>
      <c r="O42" s="23" t="str">
        <f t="shared" si="20"/>
        <v>N/A</v>
      </c>
      <c r="P42" s="23" t="str">
        <f t="shared" si="21"/>
        <v>N/A</v>
      </c>
      <c r="Q42" s="23" t="str">
        <f t="shared" si="22"/>
        <v>N/A</v>
      </c>
      <c r="R42" s="23">
        <f t="shared" si="23"/>
        <v>20</v>
      </c>
      <c r="S42" s="23">
        <f t="shared" si="24"/>
        <v>50</v>
      </c>
      <c r="T42" s="23">
        <f t="shared" si="25"/>
        <v>81</v>
      </c>
      <c r="U42" s="8">
        <f t="shared" si="26"/>
        <v>111</v>
      </c>
      <c r="V42" s="8">
        <f t="shared" si="27"/>
        <v>142</v>
      </c>
      <c r="W42" s="103">
        <f t="shared" si="13"/>
        <v>173</v>
      </c>
      <c r="X42" s="103">
        <f t="shared" ca="1" si="14"/>
        <v>196</v>
      </c>
    </row>
    <row r="43" spans="1:26" x14ac:dyDescent="0.3">
      <c r="A43" s="50" t="s">
        <v>144</v>
      </c>
      <c r="B43" s="50"/>
      <c r="C43" s="15">
        <v>42622</v>
      </c>
      <c r="D43">
        <v>36908</v>
      </c>
      <c r="E43" s="23" t="s">
        <v>222</v>
      </c>
      <c r="F43" s="23" t="s">
        <v>305</v>
      </c>
      <c r="G43" s="15">
        <v>42719</v>
      </c>
      <c r="H43" s="23">
        <f ca="1">IF(OR(Age[[#This Row],[Closed?]]="Delivered", Age[[#This Row],[Closed?]]="Closed"), Age[[#This Row],[Delivered/Closed Date]]-Age[[#This Row],[Date Opened]], TODAY() - VLOOKUP(A43,'Age Data (Hidden)'!$A:$C,3,FALSE))</f>
        <v>97</v>
      </c>
      <c r="I43" s="23" t="s">
        <v>3</v>
      </c>
      <c r="J43" s="23" t="str">
        <f t="shared" si="15"/>
        <v>N/A</v>
      </c>
      <c r="K43" s="23" t="str">
        <f t="shared" si="16"/>
        <v>N/A</v>
      </c>
      <c r="L43" s="23" t="str">
        <f t="shared" si="17"/>
        <v>N/A</v>
      </c>
      <c r="M43" s="23" t="str">
        <f t="shared" si="18"/>
        <v>N/A</v>
      </c>
      <c r="N43" s="23" t="str">
        <f t="shared" si="19"/>
        <v>N/A</v>
      </c>
      <c r="O43" s="23" t="str">
        <f t="shared" si="20"/>
        <v>N/A</v>
      </c>
      <c r="P43" s="23" t="str">
        <f t="shared" si="21"/>
        <v>N/A</v>
      </c>
      <c r="Q43" s="23" t="str">
        <f t="shared" si="22"/>
        <v>N/A</v>
      </c>
      <c r="R43" s="23" t="str">
        <f t="shared" si="23"/>
        <v>N/A</v>
      </c>
      <c r="S43" s="23">
        <f t="shared" si="24"/>
        <v>22</v>
      </c>
      <c r="T43" s="23">
        <f t="shared" si="25"/>
        <v>53</v>
      </c>
      <c r="U43" s="8">
        <f t="shared" si="26"/>
        <v>83</v>
      </c>
      <c r="V43" s="8">
        <f t="shared" si="27"/>
        <v>97</v>
      </c>
      <c r="W43" s="103" t="str">
        <f t="shared" si="13"/>
        <v>N/A</v>
      </c>
      <c r="X43" s="103" t="str">
        <f t="shared" ca="1" si="14"/>
        <v>N/A</v>
      </c>
    </row>
    <row r="44" spans="1:26" x14ac:dyDescent="0.3">
      <c r="A44" s="51" t="s">
        <v>141</v>
      </c>
      <c r="B44" s="59"/>
      <c r="C44" s="15">
        <v>42180</v>
      </c>
      <c r="D44" s="23"/>
      <c r="E44" s="23" t="s">
        <v>220</v>
      </c>
      <c r="F44" s="23"/>
      <c r="G44" s="15"/>
      <c r="H44" s="23">
        <f ca="1">IF(OR(Age[[#This Row],[Closed?]]="Delivered", Age[[#This Row],[Closed?]]="Closed"), Age[[#This Row],[Delivered/Closed Date]]-Age[[#This Row],[Date Opened]], TODAY() - VLOOKUP(A44,'Age Data (Hidden)'!$A:$C,3,FALSE))</f>
        <v>610</v>
      </c>
      <c r="I44" s="23"/>
      <c r="J44" s="23">
        <f t="shared" si="15"/>
        <v>190</v>
      </c>
      <c r="K44" s="23">
        <f t="shared" si="16"/>
        <v>221</v>
      </c>
      <c r="L44" s="23">
        <f t="shared" si="17"/>
        <v>250</v>
      </c>
      <c r="M44" s="23">
        <f t="shared" si="18"/>
        <v>281</v>
      </c>
      <c r="N44" s="23">
        <f t="shared" si="19"/>
        <v>311</v>
      </c>
      <c r="O44" s="23">
        <f t="shared" si="20"/>
        <v>342</v>
      </c>
      <c r="P44" s="23">
        <f t="shared" si="21"/>
        <v>372</v>
      </c>
      <c r="Q44" s="23">
        <f t="shared" si="22"/>
        <v>403</v>
      </c>
      <c r="R44" s="23">
        <f t="shared" si="23"/>
        <v>434</v>
      </c>
      <c r="S44" s="23">
        <f t="shared" si="24"/>
        <v>464</v>
      </c>
      <c r="T44" s="23">
        <f t="shared" si="25"/>
        <v>495</v>
      </c>
      <c r="U44" s="8">
        <f t="shared" si="26"/>
        <v>525</v>
      </c>
      <c r="V44" s="8">
        <f t="shared" si="27"/>
        <v>556</v>
      </c>
      <c r="W44" s="103">
        <f t="shared" si="13"/>
        <v>587</v>
      </c>
      <c r="X44" s="103">
        <f t="shared" ca="1" si="14"/>
        <v>610</v>
      </c>
    </row>
    <row r="45" spans="1:26" x14ac:dyDescent="0.3">
      <c r="A45" s="8" t="s">
        <v>147</v>
      </c>
      <c r="B45" s="8" t="s">
        <v>237</v>
      </c>
      <c r="C45" s="15">
        <v>42599</v>
      </c>
      <c r="D45" s="23"/>
      <c r="E45" s="23" t="s">
        <v>220</v>
      </c>
      <c r="F45" s="23"/>
      <c r="G45" s="15"/>
      <c r="H45" s="23">
        <f ca="1">IF(OR(Age[[#This Row],[Closed?]]="Delivered", Age[[#This Row],[Closed?]]="Closed"), Age[[#This Row],[Delivered/Closed Date]]-Age[[#This Row],[Date Opened]], TODAY() - VLOOKUP(A45,'Age Data (Hidden)'!$A:$C,3,FALSE))</f>
        <v>191</v>
      </c>
      <c r="I45" s="23"/>
      <c r="J45" s="23" t="str">
        <f t="shared" si="15"/>
        <v>N/A</v>
      </c>
      <c r="K45" s="23" t="str">
        <f t="shared" si="16"/>
        <v>N/A</v>
      </c>
      <c r="L45" s="23" t="str">
        <f t="shared" si="17"/>
        <v>N/A</v>
      </c>
      <c r="M45" s="23" t="str">
        <f t="shared" si="18"/>
        <v>N/A</v>
      </c>
      <c r="N45" s="23" t="str">
        <f t="shared" si="19"/>
        <v>N/A</v>
      </c>
      <c r="O45" s="23" t="str">
        <f t="shared" si="20"/>
        <v>N/A</v>
      </c>
      <c r="P45" s="23" t="str">
        <f t="shared" si="21"/>
        <v>N/A</v>
      </c>
      <c r="Q45" s="23" t="str">
        <f t="shared" si="22"/>
        <v>N/A</v>
      </c>
      <c r="R45" s="23">
        <f t="shared" si="23"/>
        <v>15</v>
      </c>
      <c r="S45" s="23">
        <f t="shared" si="24"/>
        <v>45</v>
      </c>
      <c r="T45" s="23">
        <f t="shared" si="25"/>
        <v>76</v>
      </c>
      <c r="U45" s="8">
        <f t="shared" si="26"/>
        <v>106</v>
      </c>
      <c r="V45" s="8">
        <f t="shared" si="27"/>
        <v>137</v>
      </c>
      <c r="W45" s="103">
        <f t="shared" si="13"/>
        <v>168</v>
      </c>
      <c r="X45" s="103">
        <f t="shared" ca="1" si="14"/>
        <v>191</v>
      </c>
    </row>
    <row r="46" spans="1:26" x14ac:dyDescent="0.3">
      <c r="A46" s="8" t="s">
        <v>139</v>
      </c>
      <c r="C46" s="15">
        <v>42529</v>
      </c>
      <c r="D46" s="23"/>
      <c r="E46" s="23" t="s">
        <v>220</v>
      </c>
      <c r="F46" s="23"/>
      <c r="G46" s="15"/>
      <c r="H46" s="23">
        <f ca="1">IF(OR(Age[[#This Row],[Closed?]]="Delivered", Age[[#This Row],[Closed?]]="Closed"), Age[[#This Row],[Delivered/Closed Date]]-Age[[#This Row],[Date Opened]], TODAY() - VLOOKUP(A46,'Age Data (Hidden)'!$A:$C,3,FALSE))</f>
        <v>261</v>
      </c>
      <c r="I46" s="23"/>
      <c r="J46" s="23" t="str">
        <f t="shared" si="15"/>
        <v>N/A</v>
      </c>
      <c r="K46" s="23" t="str">
        <f t="shared" si="16"/>
        <v>N/A</v>
      </c>
      <c r="L46" s="23" t="str">
        <f t="shared" si="17"/>
        <v>N/A</v>
      </c>
      <c r="M46" s="23" t="str">
        <f t="shared" si="18"/>
        <v>N/A</v>
      </c>
      <c r="N46" s="23" t="str">
        <f t="shared" si="19"/>
        <v>N/A</v>
      </c>
      <c r="O46" s="23" t="str">
        <f t="shared" si="20"/>
        <v>N/A</v>
      </c>
      <c r="P46" s="23">
        <f t="shared" si="21"/>
        <v>23</v>
      </c>
      <c r="Q46" s="23">
        <f t="shared" si="22"/>
        <v>54</v>
      </c>
      <c r="R46" s="23">
        <f t="shared" si="23"/>
        <v>85</v>
      </c>
      <c r="S46" s="23">
        <f t="shared" si="24"/>
        <v>115</v>
      </c>
      <c r="T46" s="23">
        <f t="shared" si="25"/>
        <v>146</v>
      </c>
      <c r="U46" s="8">
        <f t="shared" si="26"/>
        <v>176</v>
      </c>
      <c r="V46" s="8">
        <f t="shared" si="27"/>
        <v>207</v>
      </c>
      <c r="W46" s="103">
        <f t="shared" si="13"/>
        <v>238</v>
      </c>
      <c r="X46" s="103">
        <f t="shared" ca="1" si="14"/>
        <v>261</v>
      </c>
    </row>
    <row r="47" spans="1:26" x14ac:dyDescent="0.3">
      <c r="A47" s="8" t="s">
        <v>153</v>
      </c>
      <c r="B47" s="8" t="s">
        <v>237</v>
      </c>
      <c r="C47" s="15">
        <v>42194</v>
      </c>
      <c r="D47" s="23"/>
      <c r="E47" s="23" t="s">
        <v>220</v>
      </c>
      <c r="F47" s="23"/>
      <c r="G47" s="15"/>
      <c r="H47" s="23">
        <f ca="1">IF(OR(Age[[#This Row],[Closed?]]="Delivered", Age[[#This Row],[Closed?]]="Closed"), Age[[#This Row],[Delivered/Closed Date]]-Age[[#This Row],[Date Opened]], TODAY() - VLOOKUP(A47,'Age Data (Hidden)'!$A:$C,3,FALSE))</f>
        <v>596</v>
      </c>
      <c r="I47" s="23"/>
      <c r="J47" s="23">
        <f t="shared" si="15"/>
        <v>176</v>
      </c>
      <c r="K47" s="23">
        <f t="shared" si="16"/>
        <v>207</v>
      </c>
      <c r="L47" s="23">
        <f t="shared" si="17"/>
        <v>236</v>
      </c>
      <c r="M47" s="23">
        <f t="shared" si="18"/>
        <v>267</v>
      </c>
      <c r="N47" s="23">
        <f t="shared" si="19"/>
        <v>297</v>
      </c>
      <c r="O47" s="23">
        <f t="shared" si="20"/>
        <v>328</v>
      </c>
      <c r="P47" s="23">
        <f t="shared" si="21"/>
        <v>358</v>
      </c>
      <c r="Q47" s="23">
        <f t="shared" si="22"/>
        <v>389</v>
      </c>
      <c r="R47" s="23">
        <f t="shared" si="23"/>
        <v>420</v>
      </c>
      <c r="S47" s="23">
        <f t="shared" si="24"/>
        <v>450</v>
      </c>
      <c r="T47" s="23">
        <f t="shared" si="25"/>
        <v>481</v>
      </c>
      <c r="U47" s="8">
        <f t="shared" si="26"/>
        <v>511</v>
      </c>
      <c r="V47" s="8">
        <f t="shared" si="27"/>
        <v>542</v>
      </c>
      <c r="W47" s="103">
        <f t="shared" si="13"/>
        <v>573</v>
      </c>
      <c r="X47" s="103">
        <f t="shared" ca="1" si="14"/>
        <v>596</v>
      </c>
    </row>
    <row r="48" spans="1:26" x14ac:dyDescent="0.3">
      <c r="A48" s="8" t="s">
        <v>129</v>
      </c>
      <c r="C48" s="15">
        <v>42404</v>
      </c>
      <c r="D48" s="23"/>
      <c r="E48" s="23" t="s">
        <v>220</v>
      </c>
      <c r="F48" s="23"/>
      <c r="G48" s="15"/>
      <c r="H48" s="23">
        <f ca="1">IF(OR(Age[[#This Row],[Closed?]]="Delivered", Age[[#This Row],[Closed?]]="Closed"), Age[[#This Row],[Delivered/Closed Date]]-Age[[#This Row],[Date Opened]], TODAY() - VLOOKUP(A48,'Age Data (Hidden)'!$A:$C,3,FALSE))</f>
        <v>386</v>
      </c>
      <c r="I48" s="23"/>
      <c r="J48" s="23" t="str">
        <f t="shared" si="15"/>
        <v>N/A</v>
      </c>
      <c r="K48" s="23" t="str">
        <f t="shared" si="16"/>
        <v>N/A</v>
      </c>
      <c r="L48" s="23">
        <f t="shared" si="17"/>
        <v>26</v>
      </c>
      <c r="M48" s="23">
        <f t="shared" si="18"/>
        <v>57</v>
      </c>
      <c r="N48" s="23">
        <f t="shared" si="19"/>
        <v>87</v>
      </c>
      <c r="O48" s="23">
        <f t="shared" si="20"/>
        <v>118</v>
      </c>
      <c r="P48" s="23">
        <f t="shared" si="21"/>
        <v>148</v>
      </c>
      <c r="Q48" s="23">
        <f t="shared" si="22"/>
        <v>179</v>
      </c>
      <c r="R48" s="23">
        <f t="shared" si="23"/>
        <v>210</v>
      </c>
      <c r="S48" s="23">
        <f t="shared" si="24"/>
        <v>240</v>
      </c>
      <c r="T48" s="23">
        <f t="shared" si="25"/>
        <v>271</v>
      </c>
      <c r="U48" s="8">
        <f t="shared" si="26"/>
        <v>301</v>
      </c>
      <c r="V48" s="8">
        <f t="shared" si="27"/>
        <v>332</v>
      </c>
      <c r="W48" s="103">
        <f t="shared" si="13"/>
        <v>363</v>
      </c>
      <c r="X48" s="103">
        <f t="shared" ca="1" si="14"/>
        <v>386</v>
      </c>
    </row>
    <row r="49" spans="1:26" x14ac:dyDescent="0.3">
      <c r="A49" s="8" t="s">
        <v>138</v>
      </c>
      <c r="B49" s="8" t="s">
        <v>237</v>
      </c>
      <c r="C49" s="15">
        <v>42635</v>
      </c>
      <c r="D49" s="23"/>
      <c r="E49" s="23" t="s">
        <v>220</v>
      </c>
      <c r="F49" s="23"/>
      <c r="G49" s="15"/>
      <c r="H49" s="23">
        <f ca="1">IF(OR(Age[[#This Row],[Closed?]]="Delivered", Age[[#This Row],[Closed?]]="Closed"), Age[[#This Row],[Delivered/Closed Date]]-Age[[#This Row],[Date Opened]], TODAY() - VLOOKUP(A49,'Age Data (Hidden)'!$A:$C,3,FALSE))</f>
        <v>155</v>
      </c>
      <c r="I49" s="23"/>
      <c r="J49" s="23" t="str">
        <f t="shared" si="15"/>
        <v>N/A</v>
      </c>
      <c r="K49" s="23" t="str">
        <f t="shared" si="16"/>
        <v>N/A</v>
      </c>
      <c r="L49" s="23" t="str">
        <f t="shared" si="17"/>
        <v>N/A</v>
      </c>
      <c r="M49" s="23" t="str">
        <f t="shared" si="18"/>
        <v>N/A</v>
      </c>
      <c r="N49" s="23" t="str">
        <f t="shared" si="19"/>
        <v>N/A</v>
      </c>
      <c r="O49" s="23" t="str">
        <f t="shared" si="20"/>
        <v>N/A</v>
      </c>
      <c r="P49" s="23" t="str">
        <f t="shared" si="21"/>
        <v>N/A</v>
      </c>
      <c r="Q49" s="23" t="str">
        <f t="shared" si="22"/>
        <v>N/A</v>
      </c>
      <c r="R49" s="23" t="str">
        <f t="shared" si="23"/>
        <v>N/A</v>
      </c>
      <c r="S49" s="23">
        <f t="shared" si="24"/>
        <v>9</v>
      </c>
      <c r="T49" s="23">
        <f t="shared" si="25"/>
        <v>40</v>
      </c>
      <c r="U49" s="8">
        <f t="shared" si="26"/>
        <v>70</v>
      </c>
      <c r="V49" s="8">
        <f t="shared" si="27"/>
        <v>101</v>
      </c>
      <c r="W49" s="103">
        <f t="shared" si="13"/>
        <v>132</v>
      </c>
      <c r="X49" s="103">
        <f t="shared" ca="1" si="14"/>
        <v>155</v>
      </c>
      <c r="Y49" s="103"/>
      <c r="Z49" s="103"/>
    </row>
    <row r="50" spans="1:26" x14ac:dyDescent="0.3">
      <c r="A50" s="15" t="s">
        <v>107</v>
      </c>
      <c r="B50" s="15" t="s">
        <v>237</v>
      </c>
      <c r="C50" s="15">
        <v>42561</v>
      </c>
      <c r="D50" s="23"/>
      <c r="E50" s="23" t="s">
        <v>220</v>
      </c>
      <c r="F50" s="23"/>
      <c r="G50" s="15"/>
      <c r="H50" s="23">
        <f ca="1">IF(OR(Age[[#This Row],[Closed?]]="Delivered", Age[[#This Row],[Closed?]]="Closed"), Age[[#This Row],[Delivered/Closed Date]]-Age[[#This Row],[Date Opened]], TODAY() - VLOOKUP(A50,'Age Data (Hidden)'!$A:$C,3,FALSE))</f>
        <v>229</v>
      </c>
      <c r="I50" s="23"/>
      <c r="J50" s="23" t="str">
        <f t="shared" si="15"/>
        <v>N/A</v>
      </c>
      <c r="K50" s="23" t="str">
        <f t="shared" si="16"/>
        <v>N/A</v>
      </c>
      <c r="L50" s="23" t="str">
        <f t="shared" si="17"/>
        <v>N/A</v>
      </c>
      <c r="M50" s="23" t="str">
        <f t="shared" si="18"/>
        <v>N/A</v>
      </c>
      <c r="N50" s="23" t="str">
        <f t="shared" si="19"/>
        <v>N/A</v>
      </c>
      <c r="O50" s="23" t="str">
        <f t="shared" si="20"/>
        <v>N/A</v>
      </c>
      <c r="P50" s="23" t="str">
        <f t="shared" si="21"/>
        <v>N/A</v>
      </c>
      <c r="Q50" s="23">
        <f t="shared" si="22"/>
        <v>22</v>
      </c>
      <c r="R50" s="23">
        <f t="shared" si="23"/>
        <v>53</v>
      </c>
      <c r="S50" s="23">
        <f t="shared" si="24"/>
        <v>83</v>
      </c>
      <c r="T50" s="23">
        <f t="shared" si="25"/>
        <v>114</v>
      </c>
      <c r="U50" s="8">
        <f t="shared" si="26"/>
        <v>144</v>
      </c>
      <c r="V50" s="8">
        <f t="shared" si="27"/>
        <v>175</v>
      </c>
      <c r="W50" s="103">
        <f t="shared" si="13"/>
        <v>206</v>
      </c>
      <c r="X50" s="103">
        <f t="shared" ca="1" si="14"/>
        <v>229</v>
      </c>
      <c r="Y50" s="103"/>
      <c r="Z50" s="103"/>
    </row>
    <row r="51" spans="1:26" x14ac:dyDescent="0.3">
      <c r="A51" s="15" t="s">
        <v>108</v>
      </c>
      <c r="B51" s="15"/>
      <c r="C51" s="15">
        <v>42562</v>
      </c>
      <c r="D51" s="23"/>
      <c r="E51" s="23" t="s">
        <v>220</v>
      </c>
      <c r="F51" s="23"/>
      <c r="G51" s="15"/>
      <c r="H51" s="23">
        <f ca="1">IF(OR(Age[[#This Row],[Closed?]]="Delivered", Age[[#This Row],[Closed?]]="Closed"), Age[[#This Row],[Delivered/Closed Date]]-Age[[#This Row],[Date Opened]], TODAY() - VLOOKUP(A51,'Age Data (Hidden)'!$A:$C,3,FALSE))</f>
        <v>228</v>
      </c>
      <c r="I51" s="23"/>
      <c r="J51" s="23" t="str">
        <f t="shared" si="15"/>
        <v>N/A</v>
      </c>
      <c r="K51" s="23" t="str">
        <f t="shared" si="16"/>
        <v>N/A</v>
      </c>
      <c r="L51" s="23" t="str">
        <f t="shared" si="17"/>
        <v>N/A</v>
      </c>
      <c r="M51" s="23" t="str">
        <f t="shared" si="18"/>
        <v>N/A</v>
      </c>
      <c r="N51" s="23" t="str">
        <f t="shared" si="19"/>
        <v>N/A</v>
      </c>
      <c r="O51" s="23" t="str">
        <f t="shared" si="20"/>
        <v>N/A</v>
      </c>
      <c r="P51" s="23" t="str">
        <f t="shared" si="21"/>
        <v>N/A</v>
      </c>
      <c r="Q51" s="23">
        <f t="shared" si="22"/>
        <v>21</v>
      </c>
      <c r="R51" s="23">
        <f t="shared" si="23"/>
        <v>52</v>
      </c>
      <c r="S51" s="23">
        <f t="shared" si="24"/>
        <v>82</v>
      </c>
      <c r="T51" s="23">
        <f t="shared" si="25"/>
        <v>113</v>
      </c>
      <c r="U51" s="8">
        <f t="shared" si="26"/>
        <v>143</v>
      </c>
      <c r="V51" s="8">
        <f t="shared" si="27"/>
        <v>174</v>
      </c>
      <c r="W51" s="103">
        <f t="shared" si="13"/>
        <v>205</v>
      </c>
      <c r="X51" s="103">
        <f t="shared" ca="1" si="14"/>
        <v>228</v>
      </c>
      <c r="Y51" s="103"/>
      <c r="Z51" s="103"/>
    </row>
    <row r="52" spans="1:26" x14ac:dyDescent="0.3">
      <c r="A52" s="15" t="s">
        <v>112</v>
      </c>
      <c r="B52" s="15" t="s">
        <v>237</v>
      </c>
      <c r="C52" s="15">
        <v>41901</v>
      </c>
      <c r="D52" s="23"/>
      <c r="E52" s="23" t="s">
        <v>220</v>
      </c>
      <c r="F52" s="23"/>
      <c r="G52" s="15"/>
      <c r="H52" s="23">
        <f ca="1">IF(OR(Age[[#This Row],[Closed?]]="Delivered", Age[[#This Row],[Closed?]]="Closed"), Age[[#This Row],[Delivered/Closed Date]]-Age[[#This Row],[Date Opened]], TODAY() - VLOOKUP(A52,'Age Data (Hidden)'!$A:$C,3,FALSE))</f>
        <v>889</v>
      </c>
      <c r="I52" s="23"/>
      <c r="J52" s="23">
        <f t="shared" si="15"/>
        <v>469</v>
      </c>
      <c r="K52" s="23">
        <f t="shared" si="16"/>
        <v>500</v>
      </c>
      <c r="L52" s="23">
        <f t="shared" si="17"/>
        <v>529</v>
      </c>
      <c r="M52" s="23">
        <f t="shared" si="18"/>
        <v>560</v>
      </c>
      <c r="N52" s="23">
        <f t="shared" si="19"/>
        <v>590</v>
      </c>
      <c r="O52" s="23">
        <f t="shared" si="20"/>
        <v>621</v>
      </c>
      <c r="P52" s="23">
        <f t="shared" si="21"/>
        <v>651</v>
      </c>
      <c r="Q52" s="23">
        <f t="shared" si="22"/>
        <v>682</v>
      </c>
      <c r="R52" s="23">
        <f t="shared" si="23"/>
        <v>713</v>
      </c>
      <c r="S52" s="23">
        <f t="shared" si="24"/>
        <v>743</v>
      </c>
      <c r="T52" s="23">
        <f t="shared" si="25"/>
        <v>774</v>
      </c>
      <c r="U52" s="8">
        <f t="shared" si="26"/>
        <v>804</v>
      </c>
      <c r="V52" s="8">
        <f t="shared" si="27"/>
        <v>835</v>
      </c>
      <c r="W52" s="103">
        <f t="shared" si="13"/>
        <v>866</v>
      </c>
      <c r="X52" s="103">
        <f t="shared" ca="1" si="14"/>
        <v>889</v>
      </c>
      <c r="Y52" s="103"/>
      <c r="Z52" s="103"/>
    </row>
    <row r="53" spans="1:26" x14ac:dyDescent="0.3">
      <c r="A53" s="15" t="s">
        <v>115</v>
      </c>
      <c r="B53" s="15"/>
      <c r="C53" s="15">
        <v>42585</v>
      </c>
      <c r="D53" s="23"/>
      <c r="E53" s="23" t="s">
        <v>220</v>
      </c>
      <c r="F53" s="23"/>
      <c r="G53" s="15"/>
      <c r="H53" s="23">
        <f ca="1">IF(OR(Age[[#This Row],[Closed?]]="Delivered", Age[[#This Row],[Closed?]]="Closed"), Age[[#This Row],[Delivered/Closed Date]]-Age[[#This Row],[Date Opened]], TODAY() - VLOOKUP(A53,'Age Data (Hidden)'!$A:$C,3,FALSE))</f>
        <v>205</v>
      </c>
      <c r="I53" s="23"/>
      <c r="J53" s="23" t="str">
        <f t="shared" si="15"/>
        <v>N/A</v>
      </c>
      <c r="K53" s="23" t="str">
        <f t="shared" si="16"/>
        <v>N/A</v>
      </c>
      <c r="L53" s="23" t="str">
        <f t="shared" si="17"/>
        <v>N/A</v>
      </c>
      <c r="M53" s="23" t="str">
        <f t="shared" si="18"/>
        <v>N/A</v>
      </c>
      <c r="N53" s="23" t="str">
        <f t="shared" si="19"/>
        <v>N/A</v>
      </c>
      <c r="O53" s="23" t="str">
        <f t="shared" si="20"/>
        <v>N/A</v>
      </c>
      <c r="P53" s="23" t="str">
        <f t="shared" si="21"/>
        <v>N/A</v>
      </c>
      <c r="Q53" s="23" t="str">
        <f t="shared" si="22"/>
        <v>N/A</v>
      </c>
      <c r="R53" s="23">
        <f t="shared" si="23"/>
        <v>29</v>
      </c>
      <c r="S53" s="23">
        <f t="shared" si="24"/>
        <v>59</v>
      </c>
      <c r="T53" s="23">
        <f t="shared" si="25"/>
        <v>90</v>
      </c>
      <c r="U53" s="8">
        <f t="shared" si="26"/>
        <v>120</v>
      </c>
      <c r="V53" s="8">
        <f t="shared" si="27"/>
        <v>151</v>
      </c>
      <c r="W53" s="103">
        <f t="shared" si="13"/>
        <v>182</v>
      </c>
      <c r="X53" s="103">
        <f t="shared" ca="1" si="14"/>
        <v>205</v>
      </c>
      <c r="Y53" s="103"/>
      <c r="Z53" s="103"/>
    </row>
    <row r="54" spans="1:26" x14ac:dyDescent="0.3">
      <c r="A54" s="15" t="s">
        <v>117</v>
      </c>
      <c r="B54" s="15"/>
      <c r="C54" s="15">
        <v>42425</v>
      </c>
      <c r="D54" s="23"/>
      <c r="E54" s="23" t="s">
        <v>220</v>
      </c>
      <c r="F54" s="23"/>
      <c r="G54" s="15"/>
      <c r="H54" s="23">
        <f ca="1">IF(OR(Age[[#This Row],[Closed?]]="Delivered", Age[[#This Row],[Closed?]]="Closed"), Age[[#This Row],[Delivered/Closed Date]]-Age[[#This Row],[Date Opened]], TODAY() - VLOOKUP(A54,'Age Data (Hidden)'!$A:$C,3,FALSE))</f>
        <v>365</v>
      </c>
      <c r="I54" s="23"/>
      <c r="J54" s="23" t="str">
        <f t="shared" si="15"/>
        <v>N/A</v>
      </c>
      <c r="K54" s="23" t="str">
        <f t="shared" si="16"/>
        <v>N/A</v>
      </c>
      <c r="L54" s="23">
        <f t="shared" si="17"/>
        <v>5</v>
      </c>
      <c r="M54" s="23">
        <f t="shared" si="18"/>
        <v>36</v>
      </c>
      <c r="N54" s="23">
        <f t="shared" si="19"/>
        <v>66</v>
      </c>
      <c r="O54" s="23">
        <f t="shared" si="20"/>
        <v>97</v>
      </c>
      <c r="P54" s="23">
        <f t="shared" si="21"/>
        <v>127</v>
      </c>
      <c r="Q54" s="23">
        <f t="shared" si="22"/>
        <v>158</v>
      </c>
      <c r="R54" s="23">
        <f t="shared" si="23"/>
        <v>189</v>
      </c>
      <c r="S54" s="23">
        <f t="shared" si="24"/>
        <v>219</v>
      </c>
      <c r="T54" s="23">
        <f t="shared" si="25"/>
        <v>250</v>
      </c>
      <c r="U54" s="8">
        <f t="shared" si="26"/>
        <v>280</v>
      </c>
      <c r="V54" s="8">
        <f t="shared" si="27"/>
        <v>311</v>
      </c>
      <c r="W54" s="103">
        <f t="shared" si="13"/>
        <v>342</v>
      </c>
      <c r="X54" s="103">
        <f t="shared" ca="1" si="14"/>
        <v>365</v>
      </c>
      <c r="Y54" s="103"/>
      <c r="Z54" s="103"/>
    </row>
    <row r="55" spans="1:26" x14ac:dyDescent="0.3">
      <c r="A55" s="52" t="s">
        <v>160</v>
      </c>
      <c r="B55" s="52"/>
      <c r="C55" s="15">
        <v>42377</v>
      </c>
      <c r="D55" s="23"/>
      <c r="E55" s="23" t="s">
        <v>220</v>
      </c>
      <c r="F55" s="23"/>
      <c r="G55" s="15"/>
      <c r="H55" s="23">
        <f ca="1">IF(OR(Age[[#This Row],[Closed?]]="Delivered", Age[[#This Row],[Closed?]]="Closed"), Age[[#This Row],[Delivered/Closed Date]]-Age[[#This Row],[Date Opened]], TODAY() - VLOOKUP(A55,'Age Data (Hidden)'!$A:$C,3,FALSE))</f>
        <v>413</v>
      </c>
      <c r="I55" s="23" t="s">
        <v>2</v>
      </c>
      <c r="J55" s="23" t="str">
        <f t="shared" si="15"/>
        <v>N/A</v>
      </c>
      <c r="K55" s="23">
        <f t="shared" si="16"/>
        <v>24</v>
      </c>
      <c r="L55" s="23">
        <f t="shared" si="17"/>
        <v>53</v>
      </c>
      <c r="M55" s="23">
        <f t="shared" si="18"/>
        <v>84</v>
      </c>
      <c r="N55" s="23">
        <f t="shared" si="19"/>
        <v>114</v>
      </c>
      <c r="O55" s="23">
        <f t="shared" si="20"/>
        <v>145</v>
      </c>
      <c r="P55" s="23">
        <f t="shared" si="21"/>
        <v>175</v>
      </c>
      <c r="Q55" s="23">
        <f t="shared" si="22"/>
        <v>206</v>
      </c>
      <c r="R55" s="23">
        <f t="shared" si="23"/>
        <v>237</v>
      </c>
      <c r="S55" s="23">
        <f t="shared" si="24"/>
        <v>267</v>
      </c>
      <c r="T55" s="23">
        <f t="shared" si="25"/>
        <v>298</v>
      </c>
      <c r="U55" s="8">
        <f t="shared" si="26"/>
        <v>328</v>
      </c>
      <c r="V55" s="8">
        <f t="shared" si="27"/>
        <v>359</v>
      </c>
      <c r="W55" s="103">
        <f t="shared" si="13"/>
        <v>390</v>
      </c>
      <c r="X55" s="103">
        <f t="shared" ca="1" si="14"/>
        <v>413</v>
      </c>
      <c r="Y55" s="103"/>
      <c r="Z55" s="103"/>
    </row>
    <row r="56" spans="1:26" x14ac:dyDescent="0.3">
      <c r="A56" s="8" t="s">
        <v>161</v>
      </c>
      <c r="C56" s="15">
        <v>42376</v>
      </c>
      <c r="D56" s="23"/>
      <c r="E56" s="23" t="s">
        <v>220</v>
      </c>
      <c r="F56" s="23"/>
      <c r="G56" s="15"/>
      <c r="H56" s="23">
        <f ca="1">IF(OR(Age[[#This Row],[Closed?]]="Delivered", Age[[#This Row],[Closed?]]="Closed"), Age[[#This Row],[Delivered/Closed Date]]-Age[[#This Row],[Date Opened]], TODAY() - VLOOKUP(A56,'Age Data (Hidden)'!$A:$C,3,FALSE))</f>
        <v>414</v>
      </c>
      <c r="I56" s="23" t="s">
        <v>2</v>
      </c>
      <c r="J56" s="23" t="str">
        <f t="shared" si="15"/>
        <v>N/A</v>
      </c>
      <c r="K56" s="23">
        <f t="shared" si="16"/>
        <v>25</v>
      </c>
      <c r="L56" s="23">
        <f t="shared" si="17"/>
        <v>54</v>
      </c>
      <c r="M56" s="23">
        <f t="shared" si="18"/>
        <v>85</v>
      </c>
      <c r="N56" s="23">
        <f t="shared" si="19"/>
        <v>115</v>
      </c>
      <c r="O56" s="23">
        <f t="shared" si="20"/>
        <v>146</v>
      </c>
      <c r="P56" s="23">
        <f t="shared" si="21"/>
        <v>176</v>
      </c>
      <c r="Q56" s="23">
        <f t="shared" si="22"/>
        <v>207</v>
      </c>
      <c r="R56" s="23">
        <f t="shared" si="23"/>
        <v>238</v>
      </c>
      <c r="S56" s="23">
        <f t="shared" si="24"/>
        <v>268</v>
      </c>
      <c r="T56" s="23">
        <f t="shared" si="25"/>
        <v>299</v>
      </c>
      <c r="U56" s="8">
        <f t="shared" si="26"/>
        <v>329</v>
      </c>
      <c r="V56" s="8">
        <f t="shared" si="27"/>
        <v>360</v>
      </c>
      <c r="W56" s="103">
        <f t="shared" si="13"/>
        <v>391</v>
      </c>
      <c r="X56" s="103">
        <f t="shared" ca="1" si="14"/>
        <v>414</v>
      </c>
      <c r="Y56" s="103"/>
      <c r="Z56" s="103"/>
    </row>
    <row r="57" spans="1:26" x14ac:dyDescent="0.3">
      <c r="A57" s="51" t="s">
        <v>164</v>
      </c>
      <c r="B57" s="59" t="s">
        <v>237</v>
      </c>
      <c r="C57" s="15">
        <v>42356</v>
      </c>
      <c r="D57" s="23"/>
      <c r="E57" s="23" t="s">
        <v>220</v>
      </c>
      <c r="F57" s="23"/>
      <c r="G57" s="15"/>
      <c r="H57" s="23">
        <f ca="1">IF(OR(Age[[#This Row],[Closed?]]="Delivered", Age[[#This Row],[Closed?]]="Closed"), Age[[#This Row],[Delivered/Closed Date]]-Age[[#This Row],[Date Opened]], TODAY() - VLOOKUP(A57,'Age Data (Hidden)'!$A:$C,3,FALSE))</f>
        <v>434</v>
      </c>
      <c r="I57" s="23" t="s">
        <v>2</v>
      </c>
      <c r="J57" s="23">
        <f t="shared" si="15"/>
        <v>14</v>
      </c>
      <c r="K57" s="23">
        <f t="shared" si="16"/>
        <v>45</v>
      </c>
      <c r="L57" s="23">
        <f t="shared" si="17"/>
        <v>74</v>
      </c>
      <c r="M57" s="23">
        <f t="shared" si="18"/>
        <v>105</v>
      </c>
      <c r="N57" s="23">
        <f t="shared" si="19"/>
        <v>135</v>
      </c>
      <c r="O57" s="23">
        <f t="shared" si="20"/>
        <v>166</v>
      </c>
      <c r="P57" s="23">
        <f t="shared" si="21"/>
        <v>196</v>
      </c>
      <c r="Q57" s="23">
        <f t="shared" si="22"/>
        <v>227</v>
      </c>
      <c r="R57" s="23">
        <f t="shared" si="23"/>
        <v>258</v>
      </c>
      <c r="S57" s="23">
        <f t="shared" si="24"/>
        <v>288</v>
      </c>
      <c r="T57" s="23">
        <f t="shared" si="25"/>
        <v>319</v>
      </c>
      <c r="U57" s="8">
        <f t="shared" si="26"/>
        <v>349</v>
      </c>
      <c r="V57" s="8">
        <f t="shared" si="27"/>
        <v>380</v>
      </c>
      <c r="W57" s="103">
        <f t="shared" si="13"/>
        <v>411</v>
      </c>
      <c r="X57" s="103">
        <f t="shared" ca="1" si="14"/>
        <v>434</v>
      </c>
      <c r="Y57" s="103"/>
      <c r="Z57" s="103"/>
    </row>
    <row r="58" spans="1:26" x14ac:dyDescent="0.3">
      <c r="A58" s="8" t="s">
        <v>167</v>
      </c>
      <c r="B58" s="8" t="s">
        <v>237</v>
      </c>
      <c r="C58" s="15">
        <v>42269</v>
      </c>
      <c r="D58" s="23"/>
      <c r="E58" s="23" t="s">
        <v>220</v>
      </c>
      <c r="F58" s="23"/>
      <c r="G58" s="15"/>
      <c r="H58" s="23">
        <f ca="1">IF(OR(Age[[#This Row],[Closed?]]="Delivered", Age[[#This Row],[Closed?]]="Closed"), Age[[#This Row],[Delivered/Closed Date]]-Age[[#This Row],[Date Opened]], TODAY() - VLOOKUP(A58,'Age Data (Hidden)'!$A:$C,3,FALSE))</f>
        <v>521</v>
      </c>
      <c r="I58" s="23" t="s">
        <v>2</v>
      </c>
      <c r="J58" s="23">
        <f t="shared" si="15"/>
        <v>101</v>
      </c>
      <c r="K58" s="23">
        <f t="shared" si="16"/>
        <v>132</v>
      </c>
      <c r="L58" s="23">
        <f t="shared" si="17"/>
        <v>161</v>
      </c>
      <c r="M58" s="23">
        <f t="shared" si="18"/>
        <v>192</v>
      </c>
      <c r="N58" s="23">
        <f t="shared" si="19"/>
        <v>222</v>
      </c>
      <c r="O58" s="23">
        <f t="shared" si="20"/>
        <v>253</v>
      </c>
      <c r="P58" s="23">
        <f t="shared" si="21"/>
        <v>283</v>
      </c>
      <c r="Q58" s="23">
        <f t="shared" si="22"/>
        <v>314</v>
      </c>
      <c r="R58" s="23">
        <f t="shared" si="23"/>
        <v>345</v>
      </c>
      <c r="S58" s="23">
        <f t="shared" si="24"/>
        <v>375</v>
      </c>
      <c r="T58" s="23">
        <f t="shared" si="25"/>
        <v>406</v>
      </c>
      <c r="U58" s="8">
        <f t="shared" si="26"/>
        <v>436</v>
      </c>
      <c r="V58" s="8">
        <f t="shared" si="27"/>
        <v>467</v>
      </c>
      <c r="W58" s="103">
        <f t="shared" si="13"/>
        <v>498</v>
      </c>
      <c r="X58" s="103">
        <f t="shared" ca="1" si="14"/>
        <v>521</v>
      </c>
      <c r="Y58" s="103"/>
      <c r="Z58" s="103"/>
    </row>
    <row r="59" spans="1:26" x14ac:dyDescent="0.3">
      <c r="A59" s="8" t="s">
        <v>170</v>
      </c>
      <c r="B59" s="8" t="s">
        <v>237</v>
      </c>
      <c r="C59" s="15">
        <v>42265</v>
      </c>
      <c r="D59" s="23"/>
      <c r="E59" s="23" t="s">
        <v>220</v>
      </c>
      <c r="F59" s="23"/>
      <c r="G59" s="15"/>
      <c r="H59" s="23">
        <f ca="1">IF(OR(Age[[#This Row],[Closed?]]="Delivered", Age[[#This Row],[Closed?]]="Closed"), Age[[#This Row],[Delivered/Closed Date]]-Age[[#This Row],[Date Opened]], TODAY() - VLOOKUP(A59,'Age Data (Hidden)'!$A:$C,3,FALSE))</f>
        <v>525</v>
      </c>
      <c r="I59" s="23" t="s">
        <v>2</v>
      </c>
      <c r="J59" s="23">
        <f t="shared" si="15"/>
        <v>105</v>
      </c>
      <c r="K59" s="23">
        <f t="shared" si="16"/>
        <v>136</v>
      </c>
      <c r="L59" s="23">
        <f t="shared" si="17"/>
        <v>165</v>
      </c>
      <c r="M59" s="23">
        <f t="shared" si="18"/>
        <v>196</v>
      </c>
      <c r="N59" s="23">
        <f t="shared" si="19"/>
        <v>226</v>
      </c>
      <c r="O59" s="23">
        <f t="shared" si="20"/>
        <v>257</v>
      </c>
      <c r="P59" s="23">
        <f t="shared" si="21"/>
        <v>287</v>
      </c>
      <c r="Q59" s="23">
        <f t="shared" si="22"/>
        <v>318</v>
      </c>
      <c r="R59" s="23">
        <f t="shared" si="23"/>
        <v>349</v>
      </c>
      <c r="S59" s="23">
        <f t="shared" si="24"/>
        <v>379</v>
      </c>
      <c r="T59" s="23">
        <f t="shared" si="25"/>
        <v>410</v>
      </c>
      <c r="U59" s="8">
        <f t="shared" si="26"/>
        <v>440</v>
      </c>
      <c r="V59" s="8">
        <f t="shared" si="27"/>
        <v>471</v>
      </c>
      <c r="W59" s="103">
        <f t="shared" si="13"/>
        <v>502</v>
      </c>
      <c r="X59" s="103">
        <f t="shared" ca="1" si="14"/>
        <v>525</v>
      </c>
      <c r="Y59" s="103"/>
      <c r="Z59" s="103"/>
    </row>
    <row r="60" spans="1:26" x14ac:dyDescent="0.3">
      <c r="A60" s="8" t="s">
        <v>173</v>
      </c>
      <c r="C60" s="15">
        <v>42145</v>
      </c>
      <c r="D60" s="23"/>
      <c r="E60" s="23" t="s">
        <v>150</v>
      </c>
      <c r="F60" s="23" t="s">
        <v>327</v>
      </c>
      <c r="G60" s="15">
        <v>42711</v>
      </c>
      <c r="H60" s="23">
        <f ca="1">IF(OR(Age[[#This Row],[Closed?]]="Delivered", Age[[#This Row],[Closed?]]="Closed"), Age[[#This Row],[Delivered/Closed Date]]-Age[[#This Row],[Date Opened]], TODAY() - VLOOKUP(A60,'Age Data (Hidden)'!$A:$C,3,FALSE))</f>
        <v>566</v>
      </c>
      <c r="I60" s="23" t="s">
        <v>3</v>
      </c>
      <c r="J60" s="23">
        <f t="shared" si="15"/>
        <v>225</v>
      </c>
      <c r="K60" s="23">
        <f t="shared" si="16"/>
        <v>256</v>
      </c>
      <c r="L60" s="23">
        <f t="shared" si="17"/>
        <v>285</v>
      </c>
      <c r="M60" s="23">
        <f t="shared" si="18"/>
        <v>316</v>
      </c>
      <c r="N60" s="23">
        <f t="shared" si="19"/>
        <v>346</v>
      </c>
      <c r="O60" s="23">
        <f t="shared" si="20"/>
        <v>377</v>
      </c>
      <c r="P60" s="23">
        <f t="shared" si="21"/>
        <v>407</v>
      </c>
      <c r="Q60" s="23">
        <f t="shared" si="22"/>
        <v>438</v>
      </c>
      <c r="R60" s="23">
        <f t="shared" si="23"/>
        <v>469</v>
      </c>
      <c r="S60" s="23">
        <f t="shared" si="24"/>
        <v>499</v>
      </c>
      <c r="T60" s="23">
        <f t="shared" si="25"/>
        <v>530</v>
      </c>
      <c r="U60" s="8">
        <f t="shared" si="26"/>
        <v>560</v>
      </c>
      <c r="V60" s="8">
        <f t="shared" si="27"/>
        <v>566</v>
      </c>
      <c r="W60" s="103" t="str">
        <f t="shared" si="13"/>
        <v>N/A</v>
      </c>
      <c r="X60" s="103" t="str">
        <f t="shared" ca="1" si="14"/>
        <v>N/A</v>
      </c>
      <c r="Y60" s="103"/>
      <c r="Z60" s="103"/>
    </row>
    <row r="61" spans="1:26" x14ac:dyDescent="0.3">
      <c r="A61" s="8" t="s">
        <v>105</v>
      </c>
      <c r="B61" s="8" t="s">
        <v>238</v>
      </c>
      <c r="C61" s="15">
        <v>42551</v>
      </c>
      <c r="D61" s="23"/>
      <c r="E61" s="23" t="s">
        <v>220</v>
      </c>
      <c r="F61" s="23"/>
      <c r="G61" s="15"/>
      <c r="H61" s="23">
        <f ca="1">IF(OR(Age[[#This Row],[Closed?]]="Delivered", Age[[#This Row],[Closed?]]="Closed"), Age[[#This Row],[Delivered/Closed Date]]-Age[[#This Row],[Date Opened]], TODAY() - VLOOKUP(A61,'Age Data (Hidden)'!$A:$C,3,FALSE))</f>
        <v>239</v>
      </c>
      <c r="I61" s="23" t="s">
        <v>2</v>
      </c>
      <c r="J61" s="23" t="str">
        <f t="shared" si="15"/>
        <v>N/A</v>
      </c>
      <c r="K61" s="23" t="str">
        <f t="shared" si="16"/>
        <v>N/A</v>
      </c>
      <c r="L61" s="23" t="str">
        <f t="shared" si="17"/>
        <v>N/A</v>
      </c>
      <c r="M61" s="23" t="str">
        <f t="shared" si="18"/>
        <v>N/A</v>
      </c>
      <c r="N61" s="23" t="str">
        <f t="shared" si="19"/>
        <v>N/A</v>
      </c>
      <c r="O61" s="23" t="str">
        <f t="shared" si="20"/>
        <v>N/A</v>
      </c>
      <c r="P61" s="23">
        <f t="shared" si="21"/>
        <v>1</v>
      </c>
      <c r="Q61" s="23">
        <f t="shared" si="22"/>
        <v>32</v>
      </c>
      <c r="R61" s="23">
        <f t="shared" si="23"/>
        <v>63</v>
      </c>
      <c r="S61" s="23">
        <f t="shared" si="24"/>
        <v>93</v>
      </c>
      <c r="T61" s="23">
        <f t="shared" si="25"/>
        <v>124</v>
      </c>
      <c r="U61" s="8">
        <f t="shared" si="26"/>
        <v>154</v>
      </c>
      <c r="V61" s="8">
        <f t="shared" si="27"/>
        <v>185</v>
      </c>
      <c r="W61" s="103">
        <f t="shared" si="13"/>
        <v>216</v>
      </c>
      <c r="X61" s="103">
        <f t="shared" ca="1" si="14"/>
        <v>239</v>
      </c>
      <c r="Y61" s="103"/>
      <c r="Z61" s="103"/>
    </row>
    <row r="62" spans="1:26" x14ac:dyDescent="0.3">
      <c r="A62" s="8" t="s">
        <v>119</v>
      </c>
      <c r="B62" s="8" t="s">
        <v>238</v>
      </c>
      <c r="C62" s="15">
        <v>42494</v>
      </c>
      <c r="D62" s="23"/>
      <c r="E62" s="23" t="s">
        <v>220</v>
      </c>
      <c r="F62" s="23"/>
      <c r="G62" s="15"/>
      <c r="H62" s="23">
        <f ca="1">IF(OR(Age[[#This Row],[Closed?]]="Delivered", Age[[#This Row],[Closed?]]="Closed"), Age[[#This Row],[Delivered/Closed Date]]-Age[[#This Row],[Date Opened]], TODAY() - VLOOKUP(A62,'Age Data (Hidden)'!$A:$C,3,FALSE))</f>
        <v>296</v>
      </c>
      <c r="I62" s="23" t="s">
        <v>3</v>
      </c>
      <c r="J62" s="23" t="str">
        <f t="shared" si="15"/>
        <v>N/A</v>
      </c>
      <c r="K62" s="23" t="str">
        <f t="shared" si="16"/>
        <v>N/A</v>
      </c>
      <c r="L62" s="23" t="str">
        <f t="shared" si="17"/>
        <v>N/A</v>
      </c>
      <c r="M62" s="23" t="str">
        <f t="shared" si="18"/>
        <v>N/A</v>
      </c>
      <c r="N62" s="23" t="str">
        <f t="shared" si="19"/>
        <v>N/A</v>
      </c>
      <c r="O62" s="23">
        <f t="shared" si="20"/>
        <v>28</v>
      </c>
      <c r="P62" s="23">
        <f t="shared" si="21"/>
        <v>58</v>
      </c>
      <c r="Q62" s="23">
        <f t="shared" si="22"/>
        <v>89</v>
      </c>
      <c r="R62" s="23">
        <f t="shared" si="23"/>
        <v>120</v>
      </c>
      <c r="S62" s="23">
        <f t="shared" si="24"/>
        <v>150</v>
      </c>
      <c r="T62" s="23">
        <f t="shared" si="25"/>
        <v>181</v>
      </c>
      <c r="U62" s="8">
        <f t="shared" si="26"/>
        <v>211</v>
      </c>
      <c r="V62" s="8">
        <f t="shared" si="27"/>
        <v>242</v>
      </c>
      <c r="W62" s="103">
        <f t="shared" si="13"/>
        <v>273</v>
      </c>
      <c r="X62" s="103">
        <f t="shared" ca="1" si="14"/>
        <v>296</v>
      </c>
      <c r="Y62" s="103"/>
      <c r="Z62" s="103"/>
    </row>
    <row r="63" spans="1:26" x14ac:dyDescent="0.3">
      <c r="A63" s="8" t="s">
        <v>137</v>
      </c>
      <c r="D63" s="23"/>
      <c r="E63" s="23" t="s">
        <v>222</v>
      </c>
      <c r="F63" t="s">
        <v>231</v>
      </c>
      <c r="G63" s="15">
        <v>42654</v>
      </c>
      <c r="H63" s="23" t="s">
        <v>195</v>
      </c>
      <c r="I63" s="23" t="s">
        <v>2</v>
      </c>
      <c r="J63" s="23" t="s">
        <v>195</v>
      </c>
      <c r="K63" s="23" t="s">
        <v>195</v>
      </c>
      <c r="L63" s="23" t="s">
        <v>195</v>
      </c>
      <c r="M63" s="23" t="s">
        <v>195</v>
      </c>
      <c r="N63" s="23" t="s">
        <v>195</v>
      </c>
      <c r="O63" s="23" t="s">
        <v>195</v>
      </c>
      <c r="P63" s="23" t="s">
        <v>195</v>
      </c>
      <c r="Q63" s="23" t="s">
        <v>195</v>
      </c>
      <c r="R63" s="23" t="s">
        <v>195</v>
      </c>
      <c r="S63" s="23" t="s">
        <v>195</v>
      </c>
      <c r="T63" s="23" t="s">
        <v>195</v>
      </c>
      <c r="U63" s="8" t="str">
        <f t="shared" si="26"/>
        <v>N/A</v>
      </c>
      <c r="V63" s="8" t="str">
        <f t="shared" si="27"/>
        <v>N/A</v>
      </c>
      <c r="W63" s="103" t="str">
        <f t="shared" si="13"/>
        <v>N/A</v>
      </c>
      <c r="X63" s="103" t="str">
        <f t="shared" ca="1" si="14"/>
        <v>N/A</v>
      </c>
      <c r="Y63" s="103"/>
      <c r="Z63" s="103"/>
    </row>
    <row r="64" spans="1:26" x14ac:dyDescent="0.3">
      <c r="A64" s="8" t="s">
        <v>125</v>
      </c>
      <c r="D64" s="23"/>
      <c r="E64" s="23" t="s">
        <v>222</v>
      </c>
      <c r="F64" t="s">
        <v>232</v>
      </c>
      <c r="G64" s="15">
        <v>42628</v>
      </c>
      <c r="H64" s="23" t="s">
        <v>195</v>
      </c>
      <c r="I64" s="23" t="s">
        <v>3</v>
      </c>
      <c r="J64" s="23" t="s">
        <v>195</v>
      </c>
      <c r="K64" s="23" t="s">
        <v>195</v>
      </c>
      <c r="L64" s="23" t="s">
        <v>195</v>
      </c>
      <c r="M64" s="23" t="s">
        <v>195</v>
      </c>
      <c r="N64" s="23" t="s">
        <v>195</v>
      </c>
      <c r="O64" s="23" t="s">
        <v>195</v>
      </c>
      <c r="P64" s="23" t="s">
        <v>195</v>
      </c>
      <c r="Q64" s="23" t="s">
        <v>195</v>
      </c>
      <c r="R64" s="23" t="s">
        <v>195</v>
      </c>
      <c r="S64" s="23" t="s">
        <v>195</v>
      </c>
      <c r="T64" s="23" t="s">
        <v>195</v>
      </c>
      <c r="U64" s="8" t="str">
        <f t="shared" si="26"/>
        <v>N/A</v>
      </c>
      <c r="V64" s="8" t="str">
        <f t="shared" si="27"/>
        <v>N/A</v>
      </c>
      <c r="W64" s="103" t="str">
        <f t="shared" si="13"/>
        <v>N/A</v>
      </c>
      <c r="X64" s="103" t="str">
        <f t="shared" ca="1" si="14"/>
        <v>N/A</v>
      </c>
      <c r="Y64" s="103"/>
      <c r="Z64" s="103"/>
    </row>
    <row r="65" spans="1:26" x14ac:dyDescent="0.3">
      <c r="A65" s="8" t="s">
        <v>193</v>
      </c>
      <c r="C65" s="15">
        <v>42531</v>
      </c>
      <c r="D65" s="23"/>
      <c r="E65" s="23" t="s">
        <v>220</v>
      </c>
      <c r="F65" s="23"/>
      <c r="G65" s="15"/>
      <c r="H65" s="23">
        <f ca="1">IF(OR(Age[[#This Row],[Closed?]]="Delivered", Age[[#This Row],[Closed?]]="Closed"), Age[[#This Row],[Delivered/Closed Date]]-Age[[#This Row],[Date Opened]], TODAY() - VLOOKUP(A65,'Age Data (Hidden)'!$A:$C,3,FALSE))</f>
        <v>259</v>
      </c>
      <c r="I65" s="23" t="s">
        <v>2</v>
      </c>
      <c r="J65" s="23" t="str">
        <f t="shared" si="15"/>
        <v>N/A</v>
      </c>
      <c r="K65" s="23" t="str">
        <f t="shared" si="16"/>
        <v>N/A</v>
      </c>
      <c r="L65" s="23" t="str">
        <f t="shared" si="17"/>
        <v>N/A</v>
      </c>
      <c r="M65" s="23" t="str">
        <f t="shared" si="18"/>
        <v>N/A</v>
      </c>
      <c r="N65" s="23" t="str">
        <f t="shared" si="19"/>
        <v>N/A</v>
      </c>
      <c r="O65" s="23" t="str">
        <f t="shared" si="20"/>
        <v>N/A</v>
      </c>
      <c r="P65" s="23">
        <f t="shared" si="21"/>
        <v>21</v>
      </c>
      <c r="Q65" s="23">
        <f t="shared" si="22"/>
        <v>52</v>
      </c>
      <c r="R65" s="23">
        <f t="shared" si="23"/>
        <v>83</v>
      </c>
      <c r="S65" s="23">
        <f t="shared" si="24"/>
        <v>113</v>
      </c>
      <c r="T65" s="23">
        <f t="shared" si="25"/>
        <v>144</v>
      </c>
      <c r="U65" s="8">
        <f t="shared" si="26"/>
        <v>174</v>
      </c>
      <c r="V65" s="8">
        <f t="shared" si="27"/>
        <v>205</v>
      </c>
      <c r="W65" s="103">
        <f t="shared" si="13"/>
        <v>236</v>
      </c>
      <c r="X65" s="103">
        <f t="shared" ca="1" si="14"/>
        <v>259</v>
      </c>
      <c r="Y65" s="103"/>
      <c r="Z65" s="103"/>
    </row>
    <row r="66" spans="1:26" x14ac:dyDescent="0.3">
      <c r="A66" s="62" t="s">
        <v>243</v>
      </c>
      <c r="B66" s="8" t="s">
        <v>237</v>
      </c>
      <c r="C66" s="15">
        <v>42677</v>
      </c>
      <c r="D66" s="23"/>
      <c r="E66" s="23" t="s">
        <v>220</v>
      </c>
      <c r="F66" s="23"/>
      <c r="G66" s="15"/>
      <c r="H66" s="23">
        <f ca="1">IF(OR(Age[[#This Row],[Closed?]]="Delivered", Age[[#This Row],[Closed?]]="Closed"), Age[[#This Row],[Delivered/Closed Date]]-Age[[#This Row],[Date Opened]], TODAY() - VLOOKUP(A66,'Age Data (Hidden)'!$A:$C,3,FALSE))</f>
        <v>113</v>
      </c>
      <c r="I66" s="23" t="s">
        <v>2</v>
      </c>
      <c r="J66" s="23" t="str">
        <f t="shared" si="15"/>
        <v>N/A</v>
      </c>
      <c r="K66" s="23" t="str">
        <f t="shared" si="16"/>
        <v>N/A</v>
      </c>
      <c r="L66" s="23" t="str">
        <f t="shared" si="17"/>
        <v>N/A</v>
      </c>
      <c r="M66" s="23" t="str">
        <f t="shared" si="18"/>
        <v>N/A</v>
      </c>
      <c r="N66" s="23" t="str">
        <f t="shared" si="19"/>
        <v>N/A</v>
      </c>
      <c r="O66" s="23" t="str">
        <f t="shared" si="20"/>
        <v>N/A</v>
      </c>
      <c r="P66" s="23" t="str">
        <f t="shared" si="21"/>
        <v>N/A</v>
      </c>
      <c r="Q66" s="23" t="str">
        <f t="shared" si="22"/>
        <v>N/A</v>
      </c>
      <c r="R66" s="23" t="str">
        <f t="shared" si="23"/>
        <v>N/A</v>
      </c>
      <c r="S66" s="23" t="str">
        <f t="shared" si="24"/>
        <v>N/A</v>
      </c>
      <c r="T66" s="23" t="str">
        <f t="shared" si="25"/>
        <v>N/A</v>
      </c>
      <c r="U66" s="8">
        <f t="shared" ref="U66:U72" si="28">IF($C66&lt;42705,IF($G66&lt;&gt;"", IF($G66&lt;42675,"N/A", IF($G66 &lt;42705,$G66-$C66,42705-$C66)),42705-$C66), "N/A")</f>
        <v>28</v>
      </c>
      <c r="V66" s="8">
        <f t="shared" ref="V66:V83" si="29">IF($C66&lt;42736,IF($G66&lt;&gt;"", IF($G66&lt;42705,"N/A", IF($G66 &lt;42736,$G66-$C66,42736-$C66)),42736-$C66), "N/A")</f>
        <v>59</v>
      </c>
      <c r="W66" s="103">
        <f t="shared" si="13"/>
        <v>90</v>
      </c>
      <c r="X66" s="103">
        <f t="shared" ca="1" si="14"/>
        <v>113</v>
      </c>
      <c r="Y66" s="103"/>
      <c r="Z66" s="103"/>
    </row>
    <row r="67" spans="1:26" x14ac:dyDescent="0.3">
      <c r="A67" s="8" t="s">
        <v>270</v>
      </c>
      <c r="C67" s="15">
        <v>42606</v>
      </c>
      <c r="D67" s="23"/>
      <c r="E67" s="23" t="s">
        <v>220</v>
      </c>
      <c r="F67" s="23"/>
      <c r="G67" s="15"/>
      <c r="H67" s="23">
        <f ca="1">IF(OR(Age[[#This Row],[Closed?]]="Delivered", Age[[#This Row],[Closed?]]="Closed"), Age[[#This Row],[Delivered/Closed Date]]-Age[[#This Row],[Date Opened]], TODAY() - VLOOKUP(A67,'Age Data (Hidden)'!$A:$C,3,FALSE))</f>
        <v>184</v>
      </c>
      <c r="I67" s="23"/>
      <c r="J67" s="23" t="str">
        <f t="shared" si="15"/>
        <v>N/A</v>
      </c>
      <c r="K67" s="23" t="str">
        <f t="shared" si="16"/>
        <v>N/A</v>
      </c>
      <c r="L67" s="23" t="str">
        <f t="shared" si="17"/>
        <v>N/A</v>
      </c>
      <c r="M67" s="23" t="str">
        <f t="shared" si="18"/>
        <v>N/A</v>
      </c>
      <c r="N67" s="23" t="str">
        <f t="shared" si="19"/>
        <v>N/A</v>
      </c>
      <c r="O67" s="23" t="str">
        <f t="shared" si="20"/>
        <v>N/A</v>
      </c>
      <c r="P67" s="23" t="str">
        <f t="shared" si="21"/>
        <v>N/A</v>
      </c>
      <c r="Q67" s="23" t="str">
        <f t="shared" si="22"/>
        <v>N/A</v>
      </c>
      <c r="R67" s="23">
        <f t="shared" si="23"/>
        <v>8</v>
      </c>
      <c r="S67" s="23">
        <f t="shared" si="24"/>
        <v>38</v>
      </c>
      <c r="T67" s="23">
        <f t="shared" si="25"/>
        <v>69</v>
      </c>
      <c r="U67" s="8">
        <f t="shared" si="28"/>
        <v>99</v>
      </c>
      <c r="V67" s="8">
        <f t="shared" si="29"/>
        <v>130</v>
      </c>
      <c r="W67" s="103">
        <f t="shared" ref="W67:W91" si="30">IF($C67&lt;42767,IF($G67&lt;&gt;"", IF($G67&lt;42736,"N/A", IF($G67 &lt;42767,$G67-$C67,42767-$C67)),42767-$C67), "N/A")</f>
        <v>161</v>
      </c>
      <c r="X67" s="103">
        <f t="shared" ref="X67:X91" ca="1" si="31">IF($C67&lt;42795,IF($G67&lt;&gt;"", IF($G67&lt;42767,"N/A", IF($G67 &lt;42795,$G67-$C67,42795-$C67)),TODAY()-$C67), "N/A")</f>
        <v>184</v>
      </c>
    </row>
    <row r="68" spans="1:26" x14ac:dyDescent="0.3">
      <c r="A68" s="8" t="s">
        <v>294</v>
      </c>
      <c r="B68" s="8" t="s">
        <v>237</v>
      </c>
      <c r="C68" s="15">
        <v>42683</v>
      </c>
      <c r="D68" s="23"/>
      <c r="E68" s="23" t="s">
        <v>220</v>
      </c>
      <c r="F68" s="23"/>
      <c r="G68" s="15"/>
      <c r="H68" s="23">
        <f ca="1">IF(OR(Age[[#This Row],[Closed?]]="Delivered", Age[[#This Row],[Closed?]]="Closed"), Age[[#This Row],[Delivered/Closed Date]]-Age[[#This Row],[Date Opened]], TODAY() - VLOOKUP(A68,'Age Data (Hidden)'!$A:$C,3,FALSE))</f>
        <v>107</v>
      </c>
      <c r="I68" s="23"/>
      <c r="J68" s="103" t="str">
        <f t="shared" ref="J68:J74" si="32">IF($C68&lt;42370,IF($G68&lt;&gt;"", IF($G68&lt;42370,"N/A", IF($G68 &lt;42370,$G68-$C68,42370-$C68)),42370-$C68), "N/A")</f>
        <v>N/A</v>
      </c>
      <c r="K68" s="103" t="str">
        <f t="shared" ref="K68:K74" si="33">IF($C68&lt;42401,IF($G68&lt;&gt;"", IF($G68&lt;42370,"N/A", IF($G68 &lt;42401,$G68-$C68,42401-$C68)),42401-$C68), "N/A")</f>
        <v>N/A</v>
      </c>
      <c r="L68" s="103" t="str">
        <f t="shared" ref="L68:L74" si="34">IF($C68&lt;42430,IF($G68&lt;&gt;"", IF($G68&lt;42401,"N/A", IF($G68 &lt;42430,$G68-$C68,42430-$C68)),42430-$C68), "N/A")</f>
        <v>N/A</v>
      </c>
      <c r="M68" s="103" t="str">
        <f t="shared" ref="M68:M74" si="35">IF($C68&lt;42461,IF($G68&lt;&gt;"", IF($G68&lt;42430,"N/A", IF($G68 &lt;42461,$G68-$C68,42461-$C68)),42461-$C68), "N/A")</f>
        <v>N/A</v>
      </c>
      <c r="N68" s="103" t="str">
        <f t="shared" ref="N68:N74" si="36">IF($C68&lt;42491,IF($G68&lt;&gt;"", IF($G68&lt;42461,"N/A", IF($G68 &lt;42491,$G68-$C68,42491-$C68)),42491-$C68), "N/A")</f>
        <v>N/A</v>
      </c>
      <c r="O68" s="103" t="str">
        <f t="shared" ref="O68:O74" si="37">IF($C68&lt;42522,IF($G68&lt;&gt;"", IF($G68&lt;42491,"N/A", IF($G68 &lt;42522,$G68-$C68,42522-$C68)),42522-$C68), "N/A")</f>
        <v>N/A</v>
      </c>
      <c r="P68" s="103" t="str">
        <f t="shared" ref="P68:P74" si="38">IF($C68&lt;42552,IF($G68&lt;&gt;"", IF($G68&lt;42522,"N/A", IF($G68 &lt;42552,$G68-$C68,42552-$C68)),42552-$C68), "N/A")</f>
        <v>N/A</v>
      </c>
      <c r="Q68" s="103" t="str">
        <f t="shared" ref="Q68:Q74" si="39">IF($C68&lt;42583,IF($G68&lt;&gt;"", IF($G68&lt;42552,"N/A", IF($G68 &lt;42583,$G68-$C68,42583-$C68)),42583-$C68), "N/A")</f>
        <v>N/A</v>
      </c>
      <c r="R68" s="103" t="str">
        <f t="shared" ref="R68:R74" si="40">IF($C68&lt;42614,IF($G68&lt;&gt;"", IF($G68&lt;42583,"N/A", IF($G68 &lt;42614,$G68-$C68,42614-$C68)),42614-$C68), "N/A")</f>
        <v>N/A</v>
      </c>
      <c r="S68" s="103" t="str">
        <f t="shared" ref="S68:S74" si="41">IF($C68&lt;42644,IF($G68&lt;&gt;"", IF($G68&lt;42614,"N/A", IF($G68 &lt;42644,$G68-$C68,42644-$C68)),42644-$C68), "N/A")</f>
        <v>N/A</v>
      </c>
      <c r="T68" s="103" t="str">
        <f t="shared" ref="T68:T74" si="42">IF($C68&lt;42675,IF($G68&lt;&gt;"", IF($G68&lt;42644,"N/A", IF($G68 &lt;42675,$G68-$C68,42675-$C68)),42675-$C68), "N/A")</f>
        <v>N/A</v>
      </c>
      <c r="U68" s="8">
        <f t="shared" si="28"/>
        <v>22</v>
      </c>
      <c r="V68" s="8">
        <f t="shared" si="29"/>
        <v>53</v>
      </c>
      <c r="W68" s="103">
        <f t="shared" si="30"/>
        <v>84</v>
      </c>
      <c r="X68" s="103">
        <f t="shared" ca="1" si="31"/>
        <v>107</v>
      </c>
    </row>
    <row r="69" spans="1:26" x14ac:dyDescent="0.3">
      <c r="A69" s="8" t="s">
        <v>306</v>
      </c>
      <c r="B69" s="8" t="s">
        <v>237</v>
      </c>
      <c r="C69" s="15">
        <v>42197</v>
      </c>
      <c r="D69" s="23"/>
      <c r="E69" s="23" t="s">
        <v>220</v>
      </c>
      <c r="F69" s="23"/>
      <c r="G69" s="15"/>
      <c r="H69" s="23">
        <f ca="1">IF(OR(Age[[#This Row],[Closed?]]="Delivered", Age[[#This Row],[Closed?]]="Closed"), Age[[#This Row],[Delivered/Closed Date]]-Age[[#This Row],[Date Opened]], TODAY() - VLOOKUP(A69,'Age Data (Hidden)'!$A:$C,3,FALSE))</f>
        <v>593</v>
      </c>
      <c r="I69" s="23"/>
      <c r="J69" s="103">
        <f t="shared" si="32"/>
        <v>173</v>
      </c>
      <c r="K69" s="103">
        <f t="shared" si="33"/>
        <v>204</v>
      </c>
      <c r="L69" s="103">
        <f t="shared" si="34"/>
        <v>233</v>
      </c>
      <c r="M69" s="103">
        <f t="shared" si="35"/>
        <v>264</v>
      </c>
      <c r="N69" s="103">
        <f t="shared" si="36"/>
        <v>294</v>
      </c>
      <c r="O69" s="103">
        <f t="shared" si="37"/>
        <v>325</v>
      </c>
      <c r="P69" s="103">
        <f t="shared" si="38"/>
        <v>355</v>
      </c>
      <c r="Q69" s="103">
        <f t="shared" si="39"/>
        <v>386</v>
      </c>
      <c r="R69" s="103">
        <f t="shared" si="40"/>
        <v>417</v>
      </c>
      <c r="S69" s="103">
        <f t="shared" si="41"/>
        <v>447</v>
      </c>
      <c r="T69" s="103">
        <f t="shared" si="42"/>
        <v>478</v>
      </c>
      <c r="U69" s="103">
        <f t="shared" si="28"/>
        <v>508</v>
      </c>
      <c r="V69" s="8">
        <f t="shared" si="29"/>
        <v>539</v>
      </c>
      <c r="W69" s="103">
        <f t="shared" si="30"/>
        <v>570</v>
      </c>
      <c r="X69" s="103">
        <f t="shared" ca="1" si="31"/>
        <v>593</v>
      </c>
    </row>
    <row r="70" spans="1:26" x14ac:dyDescent="0.3">
      <c r="A70" s="8" t="s">
        <v>308</v>
      </c>
      <c r="B70" s="8" t="s">
        <v>237</v>
      </c>
      <c r="C70" s="15">
        <v>42690</v>
      </c>
      <c r="D70" s="23"/>
      <c r="E70" s="23" t="s">
        <v>220</v>
      </c>
      <c r="F70" s="23"/>
      <c r="G70" s="15"/>
      <c r="H70" s="23">
        <f ca="1">IF(OR(Age[[#This Row],[Closed?]]="Delivered", Age[[#This Row],[Closed?]]="Closed"), Age[[#This Row],[Delivered/Closed Date]]-Age[[#This Row],[Date Opened]], TODAY() - VLOOKUP(A70,'Age Data (Hidden)'!$A:$C,3,FALSE))</f>
        <v>100</v>
      </c>
      <c r="I70" s="23"/>
      <c r="J70" s="103" t="str">
        <f t="shared" si="32"/>
        <v>N/A</v>
      </c>
      <c r="K70" s="103" t="str">
        <f t="shared" si="33"/>
        <v>N/A</v>
      </c>
      <c r="L70" s="103" t="str">
        <f t="shared" si="34"/>
        <v>N/A</v>
      </c>
      <c r="M70" s="103" t="str">
        <f t="shared" si="35"/>
        <v>N/A</v>
      </c>
      <c r="N70" s="103" t="str">
        <f t="shared" si="36"/>
        <v>N/A</v>
      </c>
      <c r="O70" s="103" t="str">
        <f t="shared" si="37"/>
        <v>N/A</v>
      </c>
      <c r="P70" s="103" t="str">
        <f t="shared" si="38"/>
        <v>N/A</v>
      </c>
      <c r="Q70" s="103" t="str">
        <f t="shared" si="39"/>
        <v>N/A</v>
      </c>
      <c r="R70" s="103" t="str">
        <f t="shared" si="40"/>
        <v>N/A</v>
      </c>
      <c r="S70" s="103" t="str">
        <f t="shared" si="41"/>
        <v>N/A</v>
      </c>
      <c r="T70" s="103" t="str">
        <f t="shared" si="42"/>
        <v>N/A</v>
      </c>
      <c r="U70" s="103">
        <f t="shared" si="28"/>
        <v>15</v>
      </c>
      <c r="V70" s="8">
        <f t="shared" si="29"/>
        <v>46</v>
      </c>
      <c r="W70" s="103">
        <f t="shared" si="30"/>
        <v>77</v>
      </c>
      <c r="X70" s="103">
        <f t="shared" ca="1" si="31"/>
        <v>100</v>
      </c>
    </row>
    <row r="71" spans="1:26" x14ac:dyDescent="0.3">
      <c r="A71" s="127" t="s">
        <v>310</v>
      </c>
      <c r="C71" s="15">
        <v>42380</v>
      </c>
      <c r="D71" s="23"/>
      <c r="E71" s="23" t="s">
        <v>220</v>
      </c>
      <c r="F71" s="23"/>
      <c r="G71" s="15"/>
      <c r="H71" s="23">
        <f ca="1">IF(OR(Age[[#This Row],[Closed?]]="Delivered", Age[[#This Row],[Closed?]]="Closed"), Age[[#This Row],[Delivered/Closed Date]]-Age[[#This Row],[Date Opened]], TODAY() - VLOOKUP(A71,'Age Data (Hidden)'!$A:$C,3,FALSE))</f>
        <v>410</v>
      </c>
      <c r="I71" s="23"/>
      <c r="J71" s="103" t="str">
        <f t="shared" si="32"/>
        <v>N/A</v>
      </c>
      <c r="K71" s="103">
        <f t="shared" si="33"/>
        <v>21</v>
      </c>
      <c r="L71" s="103">
        <f t="shared" si="34"/>
        <v>50</v>
      </c>
      <c r="M71" s="103">
        <f t="shared" si="35"/>
        <v>81</v>
      </c>
      <c r="N71" s="103">
        <f t="shared" si="36"/>
        <v>111</v>
      </c>
      <c r="O71" s="103">
        <f t="shared" si="37"/>
        <v>142</v>
      </c>
      <c r="P71" s="103">
        <f t="shared" si="38"/>
        <v>172</v>
      </c>
      <c r="Q71" s="103">
        <f t="shared" si="39"/>
        <v>203</v>
      </c>
      <c r="R71" s="103">
        <f t="shared" si="40"/>
        <v>234</v>
      </c>
      <c r="S71" s="103">
        <f t="shared" si="41"/>
        <v>264</v>
      </c>
      <c r="T71" s="103">
        <f t="shared" si="42"/>
        <v>295</v>
      </c>
      <c r="U71" s="103">
        <f t="shared" si="28"/>
        <v>325</v>
      </c>
      <c r="V71" s="8">
        <f t="shared" si="29"/>
        <v>356</v>
      </c>
      <c r="W71" s="103">
        <f t="shared" si="30"/>
        <v>387</v>
      </c>
      <c r="X71" s="103">
        <f t="shared" ca="1" si="31"/>
        <v>410</v>
      </c>
    </row>
    <row r="72" spans="1:26" x14ac:dyDescent="0.3">
      <c r="A72" s="8" t="s">
        <v>313</v>
      </c>
      <c r="C72" s="15">
        <v>42695</v>
      </c>
      <c r="D72" s="23"/>
      <c r="E72" s="23" t="s">
        <v>220</v>
      </c>
      <c r="F72" s="23"/>
      <c r="G72" s="15"/>
      <c r="H72" s="23">
        <f ca="1">IF(OR(Age[[#This Row],[Closed?]]="Delivered", Age[[#This Row],[Closed?]]="Closed"), Age[[#This Row],[Delivered/Closed Date]]-Age[[#This Row],[Date Opened]], TODAY() - VLOOKUP(A72,'Age Data (Hidden)'!$A:$C,3,FALSE))</f>
        <v>95</v>
      </c>
      <c r="I72" s="23"/>
      <c r="J72" s="103" t="str">
        <f t="shared" si="32"/>
        <v>N/A</v>
      </c>
      <c r="K72" s="103" t="str">
        <f t="shared" si="33"/>
        <v>N/A</v>
      </c>
      <c r="L72" s="103" t="str">
        <f t="shared" si="34"/>
        <v>N/A</v>
      </c>
      <c r="M72" s="103" t="str">
        <f t="shared" si="35"/>
        <v>N/A</v>
      </c>
      <c r="N72" s="103" t="str">
        <f t="shared" si="36"/>
        <v>N/A</v>
      </c>
      <c r="O72" s="103" t="str">
        <f t="shared" si="37"/>
        <v>N/A</v>
      </c>
      <c r="P72" s="103" t="str">
        <f t="shared" si="38"/>
        <v>N/A</v>
      </c>
      <c r="Q72" s="103" t="str">
        <f t="shared" si="39"/>
        <v>N/A</v>
      </c>
      <c r="R72" s="103" t="str">
        <f t="shared" si="40"/>
        <v>N/A</v>
      </c>
      <c r="S72" s="103" t="str">
        <f t="shared" si="41"/>
        <v>N/A</v>
      </c>
      <c r="T72" s="103" t="str">
        <f t="shared" si="42"/>
        <v>N/A</v>
      </c>
      <c r="U72" s="103">
        <f t="shared" si="28"/>
        <v>10</v>
      </c>
      <c r="V72" s="8">
        <f t="shared" si="29"/>
        <v>41</v>
      </c>
      <c r="W72" s="103">
        <f t="shared" si="30"/>
        <v>72</v>
      </c>
      <c r="X72" s="103">
        <f t="shared" ca="1" si="31"/>
        <v>95</v>
      </c>
    </row>
    <row r="73" spans="1:26" x14ac:dyDescent="0.3">
      <c r="A73" s="8" t="s">
        <v>318</v>
      </c>
      <c r="C73" s="15">
        <v>42670</v>
      </c>
      <c r="D73" s="23"/>
      <c r="E73" s="23" t="s">
        <v>220</v>
      </c>
      <c r="F73" s="23"/>
      <c r="G73" s="15"/>
      <c r="H73" s="23">
        <f ca="1">IF(OR(Age[[#This Row],[Closed?]]="Delivered", Age[[#This Row],[Closed?]]="Closed"), Age[[#This Row],[Delivered/Closed Date]]-Age[[#This Row],[Date Opened]], TODAY() - VLOOKUP(A73,'Age Data (Hidden)'!$A:$C,3,FALSE))</f>
        <v>120</v>
      </c>
      <c r="I73" s="23"/>
      <c r="J73" s="103" t="str">
        <f t="shared" si="32"/>
        <v>N/A</v>
      </c>
      <c r="K73" s="103" t="str">
        <f t="shared" si="33"/>
        <v>N/A</v>
      </c>
      <c r="L73" s="103" t="str">
        <f t="shared" si="34"/>
        <v>N/A</v>
      </c>
      <c r="M73" s="103" t="str">
        <f t="shared" si="35"/>
        <v>N/A</v>
      </c>
      <c r="N73" s="103" t="str">
        <f t="shared" si="36"/>
        <v>N/A</v>
      </c>
      <c r="O73" s="103" t="str">
        <f t="shared" si="37"/>
        <v>N/A</v>
      </c>
      <c r="P73" s="103" t="str">
        <f t="shared" si="38"/>
        <v>N/A</v>
      </c>
      <c r="Q73" s="103" t="str">
        <f t="shared" si="39"/>
        <v>N/A</v>
      </c>
      <c r="R73" s="103" t="str">
        <f t="shared" si="40"/>
        <v>N/A</v>
      </c>
      <c r="S73" s="103" t="str">
        <f t="shared" si="41"/>
        <v>N/A</v>
      </c>
      <c r="T73" s="103">
        <f t="shared" si="42"/>
        <v>5</v>
      </c>
      <c r="U73" s="103">
        <f t="shared" ref="U73:U78" si="43">IF($C73&lt;42705,IF($G73&lt;&gt;"", IF($G73&lt;42675,"N/A", IF($G73 &lt;42705,$G73-$C73,42705-$C73)),42705-$C73), "N/A")</f>
        <v>35</v>
      </c>
      <c r="V73" s="103">
        <f t="shared" si="29"/>
        <v>66</v>
      </c>
      <c r="W73" s="103">
        <f t="shared" si="30"/>
        <v>97</v>
      </c>
      <c r="X73" s="103">
        <f t="shared" ca="1" si="31"/>
        <v>120</v>
      </c>
    </row>
    <row r="74" spans="1:26" x14ac:dyDescent="0.3">
      <c r="A74" s="62" t="s">
        <v>321</v>
      </c>
      <c r="B74" s="8" t="s">
        <v>238</v>
      </c>
      <c r="C74" s="15">
        <v>41901</v>
      </c>
      <c r="D74" s="23"/>
      <c r="E74" s="23" t="s">
        <v>220</v>
      </c>
      <c r="F74" s="23"/>
      <c r="G74" s="15"/>
      <c r="H74" s="23">
        <f ca="1">IF(OR(Age[[#This Row],[Closed?]]="Delivered", Age[[#This Row],[Closed?]]="Closed"), Age[[#This Row],[Delivered/Closed Date]]-Age[[#This Row],[Date Opened]], TODAY() - VLOOKUP(A74,'Age Data (Hidden)'!$A:$C,3,FALSE))</f>
        <v>889</v>
      </c>
      <c r="I74" s="23"/>
      <c r="J74" s="103">
        <f t="shared" si="32"/>
        <v>469</v>
      </c>
      <c r="K74" s="103">
        <f t="shared" si="33"/>
        <v>500</v>
      </c>
      <c r="L74" s="103">
        <f t="shared" si="34"/>
        <v>529</v>
      </c>
      <c r="M74" s="103">
        <f t="shared" si="35"/>
        <v>560</v>
      </c>
      <c r="N74" s="103">
        <f t="shared" si="36"/>
        <v>590</v>
      </c>
      <c r="O74" s="103">
        <f t="shared" si="37"/>
        <v>621</v>
      </c>
      <c r="P74" s="103">
        <f t="shared" si="38"/>
        <v>651</v>
      </c>
      <c r="Q74" s="103">
        <f t="shared" si="39"/>
        <v>682</v>
      </c>
      <c r="R74" s="103">
        <f t="shared" si="40"/>
        <v>713</v>
      </c>
      <c r="S74" s="103">
        <f t="shared" si="41"/>
        <v>743</v>
      </c>
      <c r="T74" s="103">
        <f t="shared" si="42"/>
        <v>774</v>
      </c>
      <c r="U74" s="103">
        <f t="shared" si="43"/>
        <v>804</v>
      </c>
      <c r="V74" s="103">
        <f t="shared" si="29"/>
        <v>835</v>
      </c>
      <c r="W74" s="103">
        <f t="shared" si="30"/>
        <v>866</v>
      </c>
      <c r="X74" s="103">
        <f t="shared" ca="1" si="31"/>
        <v>889</v>
      </c>
    </row>
    <row r="75" spans="1:26" x14ac:dyDescent="0.3">
      <c r="A75" s="8" t="s">
        <v>324</v>
      </c>
      <c r="B75" s="8" t="s">
        <v>237</v>
      </c>
      <c r="C75" s="15">
        <v>42296</v>
      </c>
      <c r="D75" s="23"/>
      <c r="E75" s="23" t="s">
        <v>220</v>
      </c>
      <c r="F75" s="23"/>
      <c r="G75" s="15"/>
      <c r="H75" s="23">
        <f ca="1">IF(OR(Age[[#This Row],[Closed?]]="Delivered", Age[[#This Row],[Closed?]]="Closed"), Age[[#This Row],[Delivered/Closed Date]]-Age[[#This Row],[Date Opened]], TODAY() - VLOOKUP(A75,'Age Data (Hidden)'!$A:$C,3,FALSE))</f>
        <v>494</v>
      </c>
      <c r="I75" s="23"/>
      <c r="J75" s="103">
        <f t="shared" ref="J75:J80" si="44">IF($C75&lt;42370,IF($G75&lt;&gt;"", IF($G75&lt;42370,"N/A", IF($G75 &lt;42370,$G75-$C75,42370-$C75)),42370-$C75), "N/A")</f>
        <v>74</v>
      </c>
      <c r="K75" s="103">
        <f t="shared" ref="K75:K80" si="45">IF($C75&lt;42401,IF($G75&lt;&gt;"", IF($G75&lt;42370,"N/A", IF($G75 &lt;42401,$G75-$C75,42401-$C75)),42401-$C75), "N/A")</f>
        <v>105</v>
      </c>
      <c r="L75" s="103">
        <f t="shared" ref="L75:L80" si="46">IF($C75&lt;42430,IF($G75&lt;&gt;"", IF($G75&lt;42401,"N/A", IF($G75 &lt;42430,$G75-$C75,42430-$C75)),42430-$C75), "N/A")</f>
        <v>134</v>
      </c>
      <c r="M75" s="103">
        <f t="shared" ref="M75:M80" si="47">IF($C75&lt;42461,IF($G75&lt;&gt;"", IF($G75&lt;42430,"N/A", IF($G75 &lt;42461,$G75-$C75,42461-$C75)),42461-$C75), "N/A")</f>
        <v>165</v>
      </c>
      <c r="N75" s="103">
        <f t="shared" ref="N75:N80" si="48">IF($C75&lt;42491,IF($G75&lt;&gt;"", IF($G75&lt;42461,"N/A", IF($G75 &lt;42491,$G75-$C75,42491-$C75)),42491-$C75), "N/A")</f>
        <v>195</v>
      </c>
      <c r="O75" s="103">
        <f t="shared" ref="O75:O80" si="49">IF($C75&lt;42522,IF($G75&lt;&gt;"", IF($G75&lt;42491,"N/A", IF($G75 &lt;42522,$G75-$C75,42522-$C75)),42522-$C75), "N/A")</f>
        <v>226</v>
      </c>
      <c r="P75" s="103">
        <f t="shared" ref="P75:P80" si="50">IF($C75&lt;42552,IF($G75&lt;&gt;"", IF($G75&lt;42522,"N/A", IF($G75 &lt;42552,$G75-$C75,42552-$C75)),42552-$C75), "N/A")</f>
        <v>256</v>
      </c>
      <c r="Q75" s="103">
        <f t="shared" ref="Q75:Q80" si="51">IF($C75&lt;42583,IF($G75&lt;&gt;"", IF($G75&lt;42552,"N/A", IF($G75 &lt;42583,$G75-$C75,42583-$C75)),42583-$C75), "N/A")</f>
        <v>287</v>
      </c>
      <c r="R75" s="103">
        <f t="shared" ref="R75:R80" si="52">IF($C75&lt;42614,IF($G75&lt;&gt;"", IF($G75&lt;42583,"N/A", IF($G75 &lt;42614,$G75-$C75,42614-$C75)),42614-$C75), "N/A")</f>
        <v>318</v>
      </c>
      <c r="S75" s="103">
        <f t="shared" ref="S75:S80" si="53">IF($C75&lt;42644,IF($G75&lt;&gt;"", IF($G75&lt;42614,"N/A", IF($G75 &lt;42644,$G75-$C75,42644-$C75)),42644-$C75), "N/A")</f>
        <v>348</v>
      </c>
      <c r="T75" s="103">
        <f t="shared" ref="T75:T80" si="54">IF($C75&lt;42675,IF($G75&lt;&gt;"", IF($G75&lt;42644,"N/A", IF($G75 &lt;42675,$G75-$C75,42675-$C75)),42675-$C75), "N/A")</f>
        <v>379</v>
      </c>
      <c r="U75" s="103">
        <f t="shared" si="43"/>
        <v>409</v>
      </c>
      <c r="V75" s="103">
        <f t="shared" si="29"/>
        <v>440</v>
      </c>
      <c r="W75" s="103">
        <f t="shared" si="30"/>
        <v>471</v>
      </c>
      <c r="X75" s="103">
        <f t="shared" ca="1" si="31"/>
        <v>494</v>
      </c>
    </row>
    <row r="76" spans="1:26" x14ac:dyDescent="0.3">
      <c r="A76" s="8" t="s">
        <v>329</v>
      </c>
      <c r="B76" s="8" t="s">
        <v>237</v>
      </c>
      <c r="C76" s="15">
        <v>42724</v>
      </c>
      <c r="D76" s="23"/>
      <c r="E76" s="23" t="s">
        <v>220</v>
      </c>
      <c r="F76" s="23"/>
      <c r="G76" s="15"/>
      <c r="H76" s="23">
        <f ca="1">IF(OR(Age[[#This Row],[Closed?]]="Delivered", Age[[#This Row],[Closed?]]="Closed"), Age[[#This Row],[Delivered/Closed Date]]-Age[[#This Row],[Date Opened]], TODAY() - VLOOKUP(A76,'Age Data (Hidden)'!$A:$C,3,FALSE))</f>
        <v>66</v>
      </c>
      <c r="I76" s="23"/>
      <c r="J76" s="103" t="str">
        <f t="shared" si="44"/>
        <v>N/A</v>
      </c>
      <c r="K76" s="103" t="str">
        <f t="shared" si="45"/>
        <v>N/A</v>
      </c>
      <c r="L76" s="103" t="str">
        <f t="shared" si="46"/>
        <v>N/A</v>
      </c>
      <c r="M76" s="103" t="str">
        <f t="shared" si="47"/>
        <v>N/A</v>
      </c>
      <c r="N76" s="103" t="str">
        <f t="shared" si="48"/>
        <v>N/A</v>
      </c>
      <c r="O76" s="103" t="str">
        <f t="shared" si="49"/>
        <v>N/A</v>
      </c>
      <c r="P76" s="103" t="str">
        <f t="shared" si="50"/>
        <v>N/A</v>
      </c>
      <c r="Q76" s="103" t="str">
        <f t="shared" si="51"/>
        <v>N/A</v>
      </c>
      <c r="R76" s="103" t="str">
        <f t="shared" si="52"/>
        <v>N/A</v>
      </c>
      <c r="S76" s="103" t="str">
        <f t="shared" si="53"/>
        <v>N/A</v>
      </c>
      <c r="T76" s="103" t="str">
        <f t="shared" si="54"/>
        <v>N/A</v>
      </c>
      <c r="U76" s="103" t="str">
        <f t="shared" si="43"/>
        <v>N/A</v>
      </c>
      <c r="V76" s="103">
        <f t="shared" si="29"/>
        <v>12</v>
      </c>
      <c r="W76" s="103">
        <f t="shared" si="30"/>
        <v>43</v>
      </c>
      <c r="X76" s="103">
        <f t="shared" ca="1" si="31"/>
        <v>66</v>
      </c>
    </row>
    <row r="77" spans="1:26" x14ac:dyDescent="0.3">
      <c r="A77" s="62" t="s">
        <v>332</v>
      </c>
      <c r="C77" s="15">
        <v>42727</v>
      </c>
      <c r="D77" s="23"/>
      <c r="E77" s="23" t="s">
        <v>220</v>
      </c>
      <c r="F77" s="23"/>
      <c r="G77" s="15"/>
      <c r="H77" s="23">
        <f ca="1">IF(OR(Age[[#This Row],[Closed?]]="Delivered", Age[[#This Row],[Closed?]]="Closed"), Age[[#This Row],[Delivered/Closed Date]]-Age[[#This Row],[Date Opened]], TODAY() - VLOOKUP(A77,'Age Data (Hidden)'!$A:$C,3,FALSE))</f>
        <v>63</v>
      </c>
      <c r="I77" s="23"/>
      <c r="J77" s="103" t="str">
        <f t="shared" si="44"/>
        <v>N/A</v>
      </c>
      <c r="K77" s="103" t="str">
        <f t="shared" si="45"/>
        <v>N/A</v>
      </c>
      <c r="L77" s="103" t="str">
        <f t="shared" si="46"/>
        <v>N/A</v>
      </c>
      <c r="M77" s="103" t="str">
        <f t="shared" si="47"/>
        <v>N/A</v>
      </c>
      <c r="N77" s="103" t="str">
        <f t="shared" si="48"/>
        <v>N/A</v>
      </c>
      <c r="O77" s="103" t="str">
        <f t="shared" si="49"/>
        <v>N/A</v>
      </c>
      <c r="P77" s="103" t="str">
        <f t="shared" si="50"/>
        <v>N/A</v>
      </c>
      <c r="Q77" s="103" t="str">
        <f t="shared" si="51"/>
        <v>N/A</v>
      </c>
      <c r="R77" s="103" t="str">
        <f t="shared" si="52"/>
        <v>N/A</v>
      </c>
      <c r="S77" s="103" t="str">
        <f t="shared" si="53"/>
        <v>N/A</v>
      </c>
      <c r="T77" s="103" t="str">
        <f t="shared" si="54"/>
        <v>N/A</v>
      </c>
      <c r="U77" s="103" t="str">
        <f t="shared" si="43"/>
        <v>N/A</v>
      </c>
      <c r="V77" s="103">
        <f t="shared" si="29"/>
        <v>9</v>
      </c>
      <c r="W77" s="103">
        <f t="shared" si="30"/>
        <v>40</v>
      </c>
      <c r="X77" s="103">
        <f t="shared" ca="1" si="31"/>
        <v>63</v>
      </c>
    </row>
    <row r="78" spans="1:26" x14ac:dyDescent="0.3">
      <c r="A78" s="8" t="s">
        <v>336</v>
      </c>
      <c r="C78" s="15">
        <v>42723</v>
      </c>
      <c r="D78" s="23"/>
      <c r="E78" s="23" t="s">
        <v>220</v>
      </c>
      <c r="F78" s="23"/>
      <c r="G78" s="15"/>
      <c r="H78" s="23">
        <f ca="1">IF(OR(Age[[#This Row],[Closed?]]="Delivered", Age[[#This Row],[Closed?]]="Closed"), Age[[#This Row],[Delivered/Closed Date]]-Age[[#This Row],[Date Opened]], TODAY() - VLOOKUP(A78,'Age Data (Hidden)'!$A:$C,3,FALSE))</f>
        <v>67</v>
      </c>
      <c r="I78" s="23"/>
      <c r="J78" s="103" t="str">
        <f t="shared" si="44"/>
        <v>N/A</v>
      </c>
      <c r="K78" s="103" t="str">
        <f t="shared" si="45"/>
        <v>N/A</v>
      </c>
      <c r="L78" s="103" t="str">
        <f t="shared" si="46"/>
        <v>N/A</v>
      </c>
      <c r="M78" s="103" t="str">
        <f t="shared" si="47"/>
        <v>N/A</v>
      </c>
      <c r="N78" s="103" t="str">
        <f t="shared" si="48"/>
        <v>N/A</v>
      </c>
      <c r="O78" s="103" t="str">
        <f t="shared" si="49"/>
        <v>N/A</v>
      </c>
      <c r="P78" s="103" t="str">
        <f t="shared" si="50"/>
        <v>N/A</v>
      </c>
      <c r="Q78" s="103" t="str">
        <f t="shared" si="51"/>
        <v>N/A</v>
      </c>
      <c r="R78" s="103" t="str">
        <f t="shared" si="52"/>
        <v>N/A</v>
      </c>
      <c r="S78" s="103" t="str">
        <f t="shared" si="53"/>
        <v>N/A</v>
      </c>
      <c r="T78" s="103" t="str">
        <f t="shared" si="54"/>
        <v>N/A</v>
      </c>
      <c r="U78" s="103" t="str">
        <f t="shared" si="43"/>
        <v>N/A</v>
      </c>
      <c r="V78" s="103">
        <f t="shared" si="29"/>
        <v>13</v>
      </c>
      <c r="W78" s="103">
        <f t="shared" si="30"/>
        <v>44</v>
      </c>
      <c r="X78" s="103">
        <f t="shared" ca="1" si="31"/>
        <v>67</v>
      </c>
    </row>
    <row r="79" spans="1:26" x14ac:dyDescent="0.3">
      <c r="A79" s="8" t="s">
        <v>339</v>
      </c>
      <c r="C79" s="15">
        <v>42656</v>
      </c>
      <c r="D79" s="23"/>
      <c r="E79" s="23" t="s">
        <v>220</v>
      </c>
      <c r="F79" s="23"/>
      <c r="G79" s="15"/>
      <c r="H79" s="23">
        <f ca="1">IF(OR(Age[[#This Row],[Closed?]]="Delivered", Age[[#This Row],[Closed?]]="Closed"), Age[[#This Row],[Delivered/Closed Date]]-Age[[#This Row],[Date Opened]], TODAY() - VLOOKUP(A79,'Age Data (Hidden)'!$A:$C,3,FALSE))</f>
        <v>134</v>
      </c>
      <c r="I79" s="23"/>
      <c r="J79" s="103" t="str">
        <f t="shared" si="44"/>
        <v>N/A</v>
      </c>
      <c r="K79" s="103" t="str">
        <f t="shared" si="45"/>
        <v>N/A</v>
      </c>
      <c r="L79" s="103" t="str">
        <f t="shared" si="46"/>
        <v>N/A</v>
      </c>
      <c r="M79" s="103" t="str">
        <f t="shared" si="47"/>
        <v>N/A</v>
      </c>
      <c r="N79" s="103" t="str">
        <f t="shared" si="48"/>
        <v>N/A</v>
      </c>
      <c r="O79" s="103" t="str">
        <f t="shared" si="49"/>
        <v>N/A</v>
      </c>
      <c r="P79" s="103" t="str">
        <f t="shared" si="50"/>
        <v>N/A</v>
      </c>
      <c r="Q79" s="103" t="str">
        <f t="shared" si="51"/>
        <v>N/A</v>
      </c>
      <c r="R79" s="103" t="str">
        <f t="shared" si="52"/>
        <v>N/A</v>
      </c>
      <c r="S79" s="103" t="str">
        <f t="shared" si="53"/>
        <v>N/A</v>
      </c>
      <c r="T79" s="103">
        <f t="shared" si="54"/>
        <v>19</v>
      </c>
      <c r="U79" s="103">
        <f t="shared" ref="U79:U84" si="55">IF($C79&lt;42705,IF($G79&lt;&gt;"", IF($G79&lt;42675,"N/A", IF($G79 &lt;42705,$G79-$C79,42705-$C79)),42705-$C79), "N/A")</f>
        <v>49</v>
      </c>
      <c r="V79" s="103">
        <f t="shared" si="29"/>
        <v>80</v>
      </c>
      <c r="W79" s="103">
        <f t="shared" si="30"/>
        <v>111</v>
      </c>
      <c r="X79" s="103">
        <f t="shared" ca="1" si="31"/>
        <v>134</v>
      </c>
    </row>
    <row r="80" spans="1:26" x14ac:dyDescent="0.3">
      <c r="A80" s="8" t="s">
        <v>343</v>
      </c>
      <c r="B80" s="8" t="s">
        <v>237</v>
      </c>
      <c r="C80" s="15">
        <v>42654</v>
      </c>
      <c r="D80" s="23"/>
      <c r="E80" s="23" t="s">
        <v>220</v>
      </c>
      <c r="F80" s="23"/>
      <c r="G80" s="15"/>
      <c r="H80" s="23">
        <f ca="1">IF(OR(Age[[#This Row],[Closed?]]="Delivered", Age[[#This Row],[Closed?]]="Closed"), Age[[#This Row],[Delivered/Closed Date]]-Age[[#This Row],[Date Opened]], TODAY() - VLOOKUP(A80,'Age Data (Hidden)'!$A:$C,3,FALSE))</f>
        <v>136</v>
      </c>
      <c r="I80" s="23"/>
      <c r="J80" s="103" t="str">
        <f t="shared" si="44"/>
        <v>N/A</v>
      </c>
      <c r="K80" s="103" t="str">
        <f t="shared" si="45"/>
        <v>N/A</v>
      </c>
      <c r="L80" s="103" t="str">
        <f t="shared" si="46"/>
        <v>N/A</v>
      </c>
      <c r="M80" s="103" t="str">
        <f t="shared" si="47"/>
        <v>N/A</v>
      </c>
      <c r="N80" s="103" t="str">
        <f t="shared" si="48"/>
        <v>N/A</v>
      </c>
      <c r="O80" s="103" t="str">
        <f t="shared" si="49"/>
        <v>N/A</v>
      </c>
      <c r="P80" s="103" t="str">
        <f t="shared" si="50"/>
        <v>N/A</v>
      </c>
      <c r="Q80" s="103" t="str">
        <f t="shared" si="51"/>
        <v>N/A</v>
      </c>
      <c r="R80" s="103" t="str">
        <f t="shared" si="52"/>
        <v>N/A</v>
      </c>
      <c r="S80" s="103" t="str">
        <f t="shared" si="53"/>
        <v>N/A</v>
      </c>
      <c r="T80" s="103">
        <f t="shared" si="54"/>
        <v>21</v>
      </c>
      <c r="U80" s="103">
        <f t="shared" si="55"/>
        <v>51</v>
      </c>
      <c r="V80" s="103">
        <f t="shared" si="29"/>
        <v>82</v>
      </c>
      <c r="W80" s="103">
        <f t="shared" si="30"/>
        <v>113</v>
      </c>
      <c r="X80" s="103">
        <f t="shared" ca="1" si="31"/>
        <v>136</v>
      </c>
    </row>
    <row r="81" spans="1:24" x14ac:dyDescent="0.3">
      <c r="A81" s="8" t="s">
        <v>346</v>
      </c>
      <c r="B81" s="8" t="s">
        <v>237</v>
      </c>
      <c r="C81" s="15">
        <v>42706</v>
      </c>
      <c r="D81" s="23"/>
      <c r="E81" s="23" t="s">
        <v>220</v>
      </c>
      <c r="F81" s="23"/>
      <c r="G81" s="15"/>
      <c r="H81" s="23">
        <f ca="1">IF(OR(Age[[#This Row],[Closed?]]="Delivered", Age[[#This Row],[Closed?]]="Closed"), Age[[#This Row],[Delivered/Closed Date]]-Age[[#This Row],[Date Opened]], TODAY() - VLOOKUP(A81,'Age Data (Hidden)'!$A:$C,3,FALSE))</f>
        <v>84</v>
      </c>
      <c r="I81" s="23"/>
      <c r="J81" s="103" t="str">
        <f t="shared" ref="J81:J86" si="56">IF($C81&lt;42370,IF($G81&lt;&gt;"", IF($G81&lt;42370,"N/A", IF($G81 &lt;42370,$G81-$C81,42370-$C81)),42370-$C81), "N/A")</f>
        <v>N/A</v>
      </c>
      <c r="K81" s="103" t="str">
        <f t="shared" ref="K81:K86" si="57">IF($C81&lt;42401,IF($G81&lt;&gt;"", IF($G81&lt;42370,"N/A", IF($G81 &lt;42401,$G81-$C81,42401-$C81)),42401-$C81), "N/A")</f>
        <v>N/A</v>
      </c>
      <c r="L81" s="103" t="str">
        <f t="shared" ref="L81:L86" si="58">IF($C81&lt;42430,IF($G81&lt;&gt;"", IF($G81&lt;42401,"N/A", IF($G81 &lt;42430,$G81-$C81,42430-$C81)),42430-$C81), "N/A")</f>
        <v>N/A</v>
      </c>
      <c r="M81" s="103" t="str">
        <f t="shared" ref="M81:M86" si="59">IF($C81&lt;42461,IF($G81&lt;&gt;"", IF($G81&lt;42430,"N/A", IF($G81 &lt;42461,$G81-$C81,42461-$C81)),42461-$C81), "N/A")</f>
        <v>N/A</v>
      </c>
      <c r="N81" s="103" t="str">
        <f t="shared" ref="N81:N86" si="60">IF($C81&lt;42491,IF($G81&lt;&gt;"", IF($G81&lt;42461,"N/A", IF($G81 &lt;42491,$G81-$C81,42491-$C81)),42491-$C81), "N/A")</f>
        <v>N/A</v>
      </c>
      <c r="O81" s="103" t="str">
        <f t="shared" ref="O81:O86" si="61">IF($C81&lt;42522,IF($G81&lt;&gt;"", IF($G81&lt;42491,"N/A", IF($G81 &lt;42522,$G81-$C81,42522-$C81)),42522-$C81), "N/A")</f>
        <v>N/A</v>
      </c>
      <c r="P81" s="103" t="str">
        <f t="shared" ref="P81:P86" si="62">IF($C81&lt;42552,IF($G81&lt;&gt;"", IF($G81&lt;42522,"N/A", IF($G81 &lt;42552,$G81-$C81,42552-$C81)),42552-$C81), "N/A")</f>
        <v>N/A</v>
      </c>
      <c r="Q81" s="103" t="str">
        <f t="shared" ref="Q81:Q86" si="63">IF($C81&lt;42583,IF($G81&lt;&gt;"", IF($G81&lt;42552,"N/A", IF($G81 &lt;42583,$G81-$C81,42583-$C81)),42583-$C81), "N/A")</f>
        <v>N/A</v>
      </c>
      <c r="R81" s="103" t="str">
        <f t="shared" ref="R81:R86" si="64">IF($C81&lt;42614,IF($G81&lt;&gt;"", IF($G81&lt;42583,"N/A", IF($G81 &lt;42614,$G81-$C81,42614-$C81)),42614-$C81), "N/A")</f>
        <v>N/A</v>
      </c>
      <c r="S81" s="103" t="str">
        <f t="shared" ref="S81:S86" si="65">IF($C81&lt;42644,IF($G81&lt;&gt;"", IF($G81&lt;42614,"N/A", IF($G81 &lt;42644,$G81-$C81,42644-$C81)),42644-$C81), "N/A")</f>
        <v>N/A</v>
      </c>
      <c r="T81" s="103" t="str">
        <f t="shared" ref="T81:T86" si="66">IF($C81&lt;42675,IF($G81&lt;&gt;"", IF($G81&lt;42644,"N/A", IF($G81 &lt;42675,$G81-$C81,42675-$C81)),42675-$C81), "N/A")</f>
        <v>N/A</v>
      </c>
      <c r="U81" s="103" t="str">
        <f t="shared" si="55"/>
        <v>N/A</v>
      </c>
      <c r="V81" s="103">
        <f t="shared" si="29"/>
        <v>30</v>
      </c>
      <c r="W81" s="103">
        <f t="shared" si="30"/>
        <v>61</v>
      </c>
      <c r="X81" s="103">
        <f t="shared" ca="1" si="31"/>
        <v>84</v>
      </c>
    </row>
    <row r="82" spans="1:24" x14ac:dyDescent="0.3">
      <c r="A82" s="8" t="s">
        <v>350</v>
      </c>
      <c r="C82" s="15">
        <v>42720</v>
      </c>
      <c r="D82" s="23"/>
      <c r="E82" s="23" t="s">
        <v>220</v>
      </c>
      <c r="F82" s="23"/>
      <c r="G82" s="15"/>
      <c r="H82" s="23">
        <f ca="1">IF(OR(Age[[#This Row],[Closed?]]="Delivered", Age[[#This Row],[Closed?]]="Closed"), Age[[#This Row],[Delivered/Closed Date]]-Age[[#This Row],[Date Opened]], TODAY() - VLOOKUP(A82,'Age Data (Hidden)'!$A:$C,3,FALSE))</f>
        <v>70</v>
      </c>
      <c r="I82" s="23"/>
      <c r="J82" s="103" t="str">
        <f t="shared" si="56"/>
        <v>N/A</v>
      </c>
      <c r="K82" s="103" t="str">
        <f t="shared" si="57"/>
        <v>N/A</v>
      </c>
      <c r="L82" s="103" t="str">
        <f t="shared" si="58"/>
        <v>N/A</v>
      </c>
      <c r="M82" s="103" t="str">
        <f t="shared" si="59"/>
        <v>N/A</v>
      </c>
      <c r="N82" s="103" t="str">
        <f t="shared" si="60"/>
        <v>N/A</v>
      </c>
      <c r="O82" s="103" t="str">
        <f t="shared" si="61"/>
        <v>N/A</v>
      </c>
      <c r="P82" s="103" t="str">
        <f t="shared" si="62"/>
        <v>N/A</v>
      </c>
      <c r="Q82" s="103" t="str">
        <f t="shared" si="63"/>
        <v>N/A</v>
      </c>
      <c r="R82" s="103" t="str">
        <f t="shared" si="64"/>
        <v>N/A</v>
      </c>
      <c r="S82" s="103" t="str">
        <f t="shared" si="65"/>
        <v>N/A</v>
      </c>
      <c r="T82" s="103" t="str">
        <f t="shared" si="66"/>
        <v>N/A</v>
      </c>
      <c r="U82" s="103" t="str">
        <f t="shared" si="55"/>
        <v>N/A</v>
      </c>
      <c r="V82" s="103">
        <f t="shared" si="29"/>
        <v>16</v>
      </c>
      <c r="W82" s="103">
        <f t="shared" si="30"/>
        <v>47</v>
      </c>
      <c r="X82" s="103">
        <f t="shared" ca="1" si="31"/>
        <v>70</v>
      </c>
    </row>
    <row r="83" spans="1:24" x14ac:dyDescent="0.3">
      <c r="A83" s="8" t="s">
        <v>351</v>
      </c>
      <c r="C83" s="15">
        <v>42661</v>
      </c>
      <c r="D83" s="23"/>
      <c r="E83" s="23" t="s">
        <v>220</v>
      </c>
      <c r="F83" s="23"/>
      <c r="G83" s="15"/>
      <c r="H83" s="23">
        <f ca="1">IF(OR(Age[[#This Row],[Closed?]]="Delivered", Age[[#This Row],[Closed?]]="Closed"), Age[[#This Row],[Delivered/Closed Date]]-Age[[#This Row],[Date Opened]], TODAY() - VLOOKUP(A83,'Age Data (Hidden)'!$A:$C,3,FALSE))</f>
        <v>129</v>
      </c>
      <c r="I83" s="23"/>
      <c r="J83" s="103" t="str">
        <f t="shared" si="56"/>
        <v>N/A</v>
      </c>
      <c r="K83" s="103" t="str">
        <f t="shared" si="57"/>
        <v>N/A</v>
      </c>
      <c r="L83" s="103" t="str">
        <f t="shared" si="58"/>
        <v>N/A</v>
      </c>
      <c r="M83" s="103" t="str">
        <f t="shared" si="59"/>
        <v>N/A</v>
      </c>
      <c r="N83" s="103" t="str">
        <f t="shared" si="60"/>
        <v>N/A</v>
      </c>
      <c r="O83" s="103" t="str">
        <f t="shared" si="61"/>
        <v>N/A</v>
      </c>
      <c r="P83" s="103" t="str">
        <f t="shared" si="62"/>
        <v>N/A</v>
      </c>
      <c r="Q83" s="103" t="str">
        <f t="shared" si="63"/>
        <v>N/A</v>
      </c>
      <c r="R83" s="103" t="str">
        <f t="shared" si="64"/>
        <v>N/A</v>
      </c>
      <c r="S83" s="103" t="str">
        <f t="shared" si="65"/>
        <v>N/A</v>
      </c>
      <c r="T83" s="103">
        <f t="shared" si="66"/>
        <v>14</v>
      </c>
      <c r="U83" s="103">
        <f t="shared" si="55"/>
        <v>44</v>
      </c>
      <c r="V83" s="103">
        <f t="shared" si="29"/>
        <v>75</v>
      </c>
      <c r="W83" s="103">
        <f t="shared" si="30"/>
        <v>106</v>
      </c>
      <c r="X83" s="103">
        <f t="shared" ca="1" si="31"/>
        <v>129</v>
      </c>
    </row>
    <row r="84" spans="1:24" x14ac:dyDescent="0.3">
      <c r="A84" s="8" t="s">
        <v>360</v>
      </c>
      <c r="C84" s="15">
        <v>42706</v>
      </c>
      <c r="D84" s="23">
        <v>44212</v>
      </c>
      <c r="E84" s="23" t="s">
        <v>150</v>
      </c>
      <c r="F84" s="23" t="s">
        <v>372</v>
      </c>
      <c r="G84" s="15">
        <v>42753</v>
      </c>
      <c r="H84" s="23">
        <f ca="1">IF(OR(Age[[#This Row],[Closed?]]="Delivered", Age[[#This Row],[Closed?]]="Closed"), Age[[#This Row],[Delivered/Closed Date]]-Age[[#This Row],[Date Opened]], TODAY() - VLOOKUP(A84,'Age Data (Hidden)'!$A:$C,3,FALSE))</f>
        <v>47</v>
      </c>
      <c r="I84" s="23"/>
      <c r="J84" s="103" t="str">
        <f t="shared" si="56"/>
        <v>N/A</v>
      </c>
      <c r="K84" s="103" t="str">
        <f t="shared" si="57"/>
        <v>N/A</v>
      </c>
      <c r="L84" s="103" t="str">
        <f t="shared" si="58"/>
        <v>N/A</v>
      </c>
      <c r="M84" s="103" t="str">
        <f t="shared" si="59"/>
        <v>N/A</v>
      </c>
      <c r="N84" s="103" t="str">
        <f t="shared" si="60"/>
        <v>N/A</v>
      </c>
      <c r="O84" s="103" t="str">
        <f t="shared" si="61"/>
        <v>N/A</v>
      </c>
      <c r="P84" s="103" t="str">
        <f t="shared" si="62"/>
        <v>N/A</v>
      </c>
      <c r="Q84" s="103" t="str">
        <f t="shared" si="63"/>
        <v>N/A</v>
      </c>
      <c r="R84" s="103" t="str">
        <f t="shared" si="64"/>
        <v>N/A</v>
      </c>
      <c r="S84" s="103" t="str">
        <f t="shared" si="65"/>
        <v>N/A</v>
      </c>
      <c r="T84" s="103" t="str">
        <f t="shared" si="66"/>
        <v>N/A</v>
      </c>
      <c r="U84" s="103" t="str">
        <f t="shared" si="55"/>
        <v>N/A</v>
      </c>
      <c r="V84" s="103">
        <f>IF($C84&lt;42736,IF($G84&lt;&gt;"", IF($G84&lt;42705,"N/A", IF($G84 &lt;42736,$G84-$C84,42736-$C84)),42736-$C84), "N/A")</f>
        <v>30</v>
      </c>
      <c r="W84" s="103">
        <f t="shared" si="30"/>
        <v>47</v>
      </c>
      <c r="X84" s="103" t="str">
        <f t="shared" ca="1" si="31"/>
        <v>N/A</v>
      </c>
    </row>
    <row r="85" spans="1:24" x14ac:dyDescent="0.3">
      <c r="A85" s="8" t="s">
        <v>365</v>
      </c>
      <c r="C85" s="15">
        <v>42742</v>
      </c>
      <c r="D85" s="23"/>
      <c r="E85" s="23" t="s">
        <v>150</v>
      </c>
      <c r="F85" s="23" t="s">
        <v>367</v>
      </c>
      <c r="G85" s="15">
        <v>42752</v>
      </c>
      <c r="H85" s="23">
        <f ca="1">IF(OR(Age[[#This Row],[Closed?]]="Delivered", Age[[#This Row],[Closed?]]="Closed"), Age[[#This Row],[Delivered/Closed Date]]-Age[[#This Row],[Date Opened]], TODAY() - VLOOKUP(A85,'Age Data (Hidden)'!$A:$C,3,FALSE))</f>
        <v>10</v>
      </c>
      <c r="I85" s="23"/>
      <c r="J85" s="103" t="str">
        <f t="shared" si="56"/>
        <v>N/A</v>
      </c>
      <c r="K85" s="103" t="str">
        <f t="shared" si="57"/>
        <v>N/A</v>
      </c>
      <c r="L85" s="103" t="str">
        <f t="shared" si="58"/>
        <v>N/A</v>
      </c>
      <c r="M85" s="103" t="str">
        <f t="shared" si="59"/>
        <v>N/A</v>
      </c>
      <c r="N85" s="103" t="str">
        <f t="shared" si="60"/>
        <v>N/A</v>
      </c>
      <c r="O85" s="103" t="str">
        <f t="shared" si="61"/>
        <v>N/A</v>
      </c>
      <c r="P85" s="103" t="str">
        <f t="shared" si="62"/>
        <v>N/A</v>
      </c>
      <c r="Q85" s="103" t="str">
        <f t="shared" si="63"/>
        <v>N/A</v>
      </c>
      <c r="R85" s="103" t="str">
        <f t="shared" si="64"/>
        <v>N/A</v>
      </c>
      <c r="S85" s="103" t="str">
        <f t="shared" si="65"/>
        <v>N/A</v>
      </c>
      <c r="T85" s="103" t="str">
        <f t="shared" si="66"/>
        <v>N/A</v>
      </c>
      <c r="U85" s="103" t="str">
        <f>IF($C85&lt;42705,IF($G85&lt;&gt;"", IF($G85&lt;42675,"N/A", IF($G85 &lt;42705,$G85-$C85,42705-$C85)),42705-$C85), "N/A")</f>
        <v>N/A</v>
      </c>
      <c r="V85" s="103" t="str">
        <f>IF($C85&lt;42736,IF($G85&lt;&gt;"", IF($G85&lt;42705,"N/A", IF($G85 &lt;42736,$G85-$C85,42736-$C85)),42736-$C85), "N/A")</f>
        <v>N/A</v>
      </c>
      <c r="W85" s="103">
        <f t="shared" si="30"/>
        <v>10</v>
      </c>
      <c r="X85" s="103" t="str">
        <f t="shared" ca="1" si="31"/>
        <v>N/A</v>
      </c>
    </row>
    <row r="86" spans="1:24" x14ac:dyDescent="0.3">
      <c r="A86" s="8" t="s">
        <v>361</v>
      </c>
      <c r="B86" s="8" t="s">
        <v>238</v>
      </c>
      <c r="C86" s="15">
        <v>42644</v>
      </c>
      <c r="D86" s="23"/>
      <c r="E86" s="23" t="s">
        <v>220</v>
      </c>
      <c r="F86" s="23"/>
      <c r="G86" s="15"/>
      <c r="H86" s="23">
        <f ca="1">IF(OR(Age[[#This Row],[Closed?]]="Delivered", Age[[#This Row],[Closed?]]="Closed"), Age[[#This Row],[Delivered/Closed Date]]-Age[[#This Row],[Date Opened]], TODAY() - VLOOKUP(A86,'Age Data (Hidden)'!$A:$C,3,FALSE))</f>
        <v>146</v>
      </c>
      <c r="I86" s="23"/>
      <c r="J86" s="103" t="str">
        <f t="shared" si="56"/>
        <v>N/A</v>
      </c>
      <c r="K86" s="103" t="str">
        <f t="shared" si="57"/>
        <v>N/A</v>
      </c>
      <c r="L86" s="103" t="str">
        <f t="shared" si="58"/>
        <v>N/A</v>
      </c>
      <c r="M86" s="103" t="str">
        <f t="shared" si="59"/>
        <v>N/A</v>
      </c>
      <c r="N86" s="103" t="str">
        <f t="shared" si="60"/>
        <v>N/A</v>
      </c>
      <c r="O86" s="103" t="str">
        <f t="shared" si="61"/>
        <v>N/A</v>
      </c>
      <c r="P86" s="103" t="str">
        <f t="shared" si="62"/>
        <v>N/A</v>
      </c>
      <c r="Q86" s="103" t="str">
        <f t="shared" si="63"/>
        <v>N/A</v>
      </c>
      <c r="R86" s="103" t="str">
        <f t="shared" si="64"/>
        <v>N/A</v>
      </c>
      <c r="S86" s="103" t="str">
        <f t="shared" si="65"/>
        <v>N/A</v>
      </c>
      <c r="T86" s="103">
        <f t="shared" si="66"/>
        <v>31</v>
      </c>
      <c r="U86" s="103">
        <f>IF($C86&lt;42705,IF($G86&lt;&gt;"", IF($G86&lt;42675,"N/A", IF($G86 &lt;42705,$G86-$C86,42705-$C86)),42705-$C86), "N/A")</f>
        <v>61</v>
      </c>
      <c r="V86" s="103">
        <f>IF($C86&lt;42736,IF($G86&lt;&gt;"", IF($G86&lt;42705,"N/A", IF($G86 &lt;42736,$G86-$C86,42736-$C86)),42736-$C86), "N/A")</f>
        <v>92</v>
      </c>
      <c r="W86" s="103">
        <f t="shared" si="30"/>
        <v>123</v>
      </c>
      <c r="X86" s="103">
        <f t="shared" ca="1" si="31"/>
        <v>146</v>
      </c>
    </row>
    <row r="87" spans="1:24" x14ac:dyDescent="0.3">
      <c r="A87" s="8" t="s">
        <v>369</v>
      </c>
      <c r="C87" s="15">
        <v>42717</v>
      </c>
      <c r="D87" s="23">
        <v>44970</v>
      </c>
      <c r="E87" s="23" t="s">
        <v>220</v>
      </c>
      <c r="F87" s="23"/>
      <c r="G87" s="15"/>
      <c r="H87" s="23">
        <f ca="1">IF(OR(Age[[#This Row],[Closed?]]="Delivered", Age[[#This Row],[Closed?]]="Closed"), Age[[#This Row],[Delivered/Closed Date]]-Age[[#This Row],[Date Opened]], TODAY() - VLOOKUP(A87,'Age Data (Hidden)'!$A:$C,3,FALSE))</f>
        <v>73</v>
      </c>
      <c r="I87" s="23"/>
      <c r="J87" s="103" t="str">
        <f>IF($C87&lt;42370,IF($G87&lt;&gt;"", IF($G87&lt;42370,"N/A", IF($G87 &lt;42370,$G87-$C87,42370-$C87)),42370-$C87), "N/A")</f>
        <v>N/A</v>
      </c>
      <c r="K87" s="103" t="str">
        <f>IF($C87&lt;42401,IF($G87&lt;&gt;"", IF($G87&lt;42370,"N/A", IF($G87 &lt;42401,$G87-$C87,42401-$C87)),42401-$C87), "N/A")</f>
        <v>N/A</v>
      </c>
      <c r="L87" s="103" t="str">
        <f>IF($C87&lt;42430,IF($G87&lt;&gt;"", IF($G87&lt;42401,"N/A", IF($G87 &lt;42430,$G87-$C87,42430-$C87)),42430-$C87), "N/A")</f>
        <v>N/A</v>
      </c>
      <c r="M87" s="103" t="str">
        <f>IF($C87&lt;42461,IF($G87&lt;&gt;"", IF($G87&lt;42430,"N/A", IF($G87 &lt;42461,$G87-$C87,42461-$C87)),42461-$C87), "N/A")</f>
        <v>N/A</v>
      </c>
      <c r="N87" s="103" t="str">
        <f>IF($C87&lt;42491,IF($G87&lt;&gt;"", IF($G87&lt;42461,"N/A", IF($G87 &lt;42491,$G87-$C87,42491-$C87)),42491-$C87), "N/A")</f>
        <v>N/A</v>
      </c>
      <c r="O87" s="103" t="str">
        <f>IF($C87&lt;42522,IF($G87&lt;&gt;"", IF($G87&lt;42491,"N/A", IF($G87 &lt;42522,$G87-$C87,42522-$C87)),42522-$C87), "N/A")</f>
        <v>N/A</v>
      </c>
      <c r="P87" s="103" t="str">
        <f>IF($C87&lt;42552,IF($G87&lt;&gt;"", IF($G87&lt;42522,"N/A", IF($G87 &lt;42552,$G87-$C87,42552-$C87)),42552-$C87), "N/A")</f>
        <v>N/A</v>
      </c>
      <c r="Q87" s="103" t="str">
        <f>IF($C87&lt;42583,IF($G87&lt;&gt;"", IF($G87&lt;42552,"N/A", IF($G87 &lt;42583,$G87-$C87,42583-$C87)),42583-$C87), "N/A")</f>
        <v>N/A</v>
      </c>
      <c r="R87" s="103" t="str">
        <f>IF($C87&lt;42614,IF($G87&lt;&gt;"", IF($G87&lt;42583,"N/A", IF($G87 &lt;42614,$G87-$C87,42614-$C87)),42614-$C87), "N/A")</f>
        <v>N/A</v>
      </c>
      <c r="S87" s="103" t="str">
        <f>IF($C87&lt;42644,IF($G87&lt;&gt;"", IF($G87&lt;42614,"N/A", IF($G87 &lt;42644,$G87-$C87,42644-$C87)),42644-$C87), "N/A")</f>
        <v>N/A</v>
      </c>
      <c r="T87" s="103" t="str">
        <f>IF($C87&lt;42675,IF($G87&lt;&gt;"", IF($G87&lt;42644,"N/A", IF($G87 &lt;42675,$G87-$C87,42675-$C87)),42675-$C87), "N/A")</f>
        <v>N/A</v>
      </c>
      <c r="U87" s="103" t="str">
        <f>IF($C87&lt;42705,IF($G87&lt;&gt;"", IF($G87&lt;42675,"N/A", IF($G87 &lt;42705,$G87-$C87,42705-$C87)),42705-$C87), "N/A")</f>
        <v>N/A</v>
      </c>
      <c r="V87" s="103">
        <f>IF($C87&lt;42736,IF($G87&lt;&gt;"", IF($G87&lt;42705,"N/A", IF($G87 &lt;42736,$G87-$C87,42736-$C87)),42736-$C87), "N/A")</f>
        <v>19</v>
      </c>
      <c r="W87" s="103">
        <f t="shared" si="30"/>
        <v>50</v>
      </c>
      <c r="X87" s="103">
        <f t="shared" ca="1" si="31"/>
        <v>73</v>
      </c>
    </row>
    <row r="88" spans="1:24" x14ac:dyDescent="0.3">
      <c r="A88" s="8" t="s">
        <v>375</v>
      </c>
      <c r="C88" s="15">
        <v>41901</v>
      </c>
      <c r="D88" s="23"/>
      <c r="E88" s="23" t="s">
        <v>220</v>
      </c>
      <c r="F88" s="23"/>
      <c r="G88" s="15"/>
      <c r="H88" s="23">
        <f ca="1">IF(OR(Age[[#This Row],[Closed?]]="Delivered", Age[[#This Row],[Closed?]]="Closed"), Age[[#This Row],[Delivered/Closed Date]]-Age[[#This Row],[Date Opened]], TODAY() - VLOOKUP(A88,'Age Data (Hidden)'!$A:$C,3,FALSE))</f>
        <v>889</v>
      </c>
      <c r="I88" s="23"/>
      <c r="J88" s="103">
        <f>IF($C88&lt;42370,IF($G88&lt;&gt;"", IF($G88&lt;42370,"N/A", IF($G88 &lt;42370,$G88-$C88,42370-$C88)),42370-$C88), "N/A")</f>
        <v>469</v>
      </c>
      <c r="K88" s="103">
        <f>IF($C88&lt;42401,IF($G88&lt;&gt;"", IF($G88&lt;42370,"N/A", IF($G88 &lt;42401,$G88-$C88,42401-$C88)),42401-$C88), "N/A")</f>
        <v>500</v>
      </c>
      <c r="L88" s="103">
        <f>IF($C88&lt;42430,IF($G88&lt;&gt;"", IF($G88&lt;42401,"N/A", IF($G88 &lt;42430,$G88-$C88,42430-$C88)),42430-$C88), "N/A")</f>
        <v>529</v>
      </c>
      <c r="M88" s="103">
        <f>IF($C88&lt;42461,IF($G88&lt;&gt;"", IF($G88&lt;42430,"N/A", IF($G88 &lt;42461,$G88-$C88,42461-$C88)),42461-$C88), "N/A")</f>
        <v>560</v>
      </c>
      <c r="N88" s="103">
        <f>IF($C88&lt;42491,IF($G88&lt;&gt;"", IF($G88&lt;42461,"N/A", IF($G88 &lt;42491,$G88-$C88,42491-$C88)),42491-$C88), "N/A")</f>
        <v>590</v>
      </c>
      <c r="O88" s="103">
        <f>IF($C88&lt;42522,IF($G88&lt;&gt;"", IF($G88&lt;42491,"N/A", IF($G88 &lt;42522,$G88-$C88,42522-$C88)),42522-$C88), "N/A")</f>
        <v>621</v>
      </c>
      <c r="P88" s="103">
        <f>IF($C88&lt;42552,IF($G88&lt;&gt;"", IF($G88&lt;42522,"N/A", IF($G88 &lt;42552,$G88-$C88,42552-$C88)),42552-$C88), "N/A")</f>
        <v>651</v>
      </c>
      <c r="Q88" s="103">
        <f>IF($C88&lt;42583,IF($G88&lt;&gt;"", IF($G88&lt;42552,"N/A", IF($G88 &lt;42583,$G88-$C88,42583-$C88)),42583-$C88), "N/A")</f>
        <v>682</v>
      </c>
      <c r="R88" s="103">
        <f>IF($C88&lt;42614,IF($G88&lt;&gt;"", IF($G88&lt;42583,"N/A", IF($G88 &lt;42614,$G88-$C88,42614-$C88)),42614-$C88), "N/A")</f>
        <v>713</v>
      </c>
      <c r="S88" s="103">
        <f>IF($C88&lt;42644,IF($G88&lt;&gt;"", IF($G88&lt;42614,"N/A", IF($G88 &lt;42644,$G88-$C88,42644-$C88)),42644-$C88), "N/A")</f>
        <v>743</v>
      </c>
      <c r="T88" s="103">
        <f>IF($C88&lt;42675,IF($G88&lt;&gt;"", IF($G88&lt;42644,"N/A", IF($G88 &lt;42675,$G88-$C88,42675-$C88)),42675-$C88), "N/A")</f>
        <v>774</v>
      </c>
      <c r="U88" s="103">
        <f>IF($C88&lt;42705,IF($G88&lt;&gt;"", IF($G88&lt;42675,"N/A", IF($G88 &lt;42705,$G88-$C88,42705-$C88)),42705-$C88), "N/A")</f>
        <v>804</v>
      </c>
      <c r="V88" s="103">
        <f>IF($C88&lt;42736,IF($G88&lt;&gt;"", IF($G88&lt;42705,"N/A", IF($G88 &lt;42736,$G88-$C88,42736-$C88)),42736-$C88), "N/A")</f>
        <v>835</v>
      </c>
      <c r="W88" s="103">
        <f t="shared" si="30"/>
        <v>866</v>
      </c>
      <c r="X88" s="103">
        <f t="shared" ca="1" si="31"/>
        <v>889</v>
      </c>
    </row>
    <row r="89" spans="1:24" x14ac:dyDescent="0.3">
      <c r="A89" s="8" t="s">
        <v>376</v>
      </c>
      <c r="C89" s="15">
        <v>41901</v>
      </c>
      <c r="D89" s="23"/>
      <c r="E89" s="23" t="s">
        <v>220</v>
      </c>
      <c r="F89" s="23"/>
      <c r="G89" s="15"/>
      <c r="H89" s="23">
        <f ca="1">IF(OR(Age[[#This Row],[Closed?]]="Delivered", Age[[#This Row],[Closed?]]="Closed"), Age[[#This Row],[Delivered/Closed Date]]-Age[[#This Row],[Date Opened]], TODAY() - VLOOKUP(A89,'Age Data (Hidden)'!$A:$C,3,FALSE))</f>
        <v>889</v>
      </c>
      <c r="I89" s="23"/>
      <c r="J89" s="103">
        <f t="shared" ref="J89:J90" si="67">IF($C89&lt;42370,IF($G89&lt;&gt;"", IF($G89&lt;42370,"N/A", IF($G89 &lt;42370,$G89-$C89,42370-$C89)),42370-$C89), "N/A")</f>
        <v>469</v>
      </c>
      <c r="K89" s="103">
        <f t="shared" ref="K89:K90" si="68">IF($C89&lt;42401,IF($G89&lt;&gt;"", IF($G89&lt;42370,"N/A", IF($G89 &lt;42401,$G89-$C89,42401-$C89)),42401-$C89), "N/A")</f>
        <v>500</v>
      </c>
      <c r="L89" s="103">
        <f t="shared" ref="L89:L90" si="69">IF($C89&lt;42430,IF($G89&lt;&gt;"", IF($G89&lt;42401,"N/A", IF($G89 &lt;42430,$G89-$C89,42430-$C89)),42430-$C89), "N/A")</f>
        <v>529</v>
      </c>
      <c r="M89" s="103">
        <f t="shared" ref="M89:M90" si="70">IF($C89&lt;42461,IF($G89&lt;&gt;"", IF($G89&lt;42430,"N/A", IF($G89 &lt;42461,$G89-$C89,42461-$C89)),42461-$C89), "N/A")</f>
        <v>560</v>
      </c>
      <c r="N89" s="103">
        <f t="shared" ref="N89:N90" si="71">IF($C89&lt;42491,IF($G89&lt;&gt;"", IF($G89&lt;42461,"N/A", IF($G89 &lt;42491,$G89-$C89,42491-$C89)),42491-$C89), "N/A")</f>
        <v>590</v>
      </c>
      <c r="O89" s="103">
        <f t="shared" ref="O89:O90" si="72">IF($C89&lt;42522,IF($G89&lt;&gt;"", IF($G89&lt;42491,"N/A", IF($G89 &lt;42522,$G89-$C89,42522-$C89)),42522-$C89), "N/A")</f>
        <v>621</v>
      </c>
      <c r="P89" s="103">
        <f t="shared" ref="P89:P90" si="73">IF($C89&lt;42552,IF($G89&lt;&gt;"", IF($G89&lt;42522,"N/A", IF($G89 &lt;42552,$G89-$C89,42552-$C89)),42552-$C89), "N/A")</f>
        <v>651</v>
      </c>
      <c r="Q89" s="103">
        <f t="shared" ref="Q89:Q90" si="74">IF($C89&lt;42583,IF($G89&lt;&gt;"", IF($G89&lt;42552,"N/A", IF($G89 &lt;42583,$G89-$C89,42583-$C89)),42583-$C89), "N/A")</f>
        <v>682</v>
      </c>
      <c r="R89" s="103">
        <f t="shared" ref="R89:R90" si="75">IF($C89&lt;42614,IF($G89&lt;&gt;"", IF($G89&lt;42583,"N/A", IF($G89 &lt;42614,$G89-$C89,42614-$C89)),42614-$C89), "N/A")</f>
        <v>713</v>
      </c>
      <c r="S89" s="103">
        <f t="shared" ref="S89:S90" si="76">IF($C89&lt;42644,IF($G89&lt;&gt;"", IF($G89&lt;42614,"N/A", IF($G89 &lt;42644,$G89-$C89,42644-$C89)),42644-$C89), "N/A")</f>
        <v>743</v>
      </c>
      <c r="T89" s="103">
        <f t="shared" ref="T89:T90" si="77">IF($C89&lt;42675,IF($G89&lt;&gt;"", IF($G89&lt;42644,"N/A", IF($G89 &lt;42675,$G89-$C89,42675-$C89)),42675-$C89), "N/A")</f>
        <v>774</v>
      </c>
      <c r="U89" s="103">
        <f t="shared" ref="U89:U90" si="78">IF($C89&lt;42705,IF($G89&lt;&gt;"", IF($G89&lt;42675,"N/A", IF($G89 &lt;42705,$G89-$C89,42705-$C89)),42705-$C89), "N/A")</f>
        <v>804</v>
      </c>
      <c r="V89" s="103">
        <f t="shared" ref="V89:V90" si="79">IF($C89&lt;42736,IF($G89&lt;&gt;"", IF($G89&lt;42705,"N/A", IF($G89 &lt;42736,$G89-$C89,42736-$C89)),42736-$C89), "N/A")</f>
        <v>835</v>
      </c>
      <c r="W89" s="103">
        <f t="shared" si="30"/>
        <v>866</v>
      </c>
      <c r="X89" s="103">
        <f t="shared" ca="1" si="31"/>
        <v>889</v>
      </c>
    </row>
    <row r="90" spans="1:24" x14ac:dyDescent="0.3">
      <c r="A90" s="8" t="s">
        <v>377</v>
      </c>
      <c r="C90" s="15">
        <v>42486</v>
      </c>
      <c r="D90" s="23"/>
      <c r="E90" s="23" t="s">
        <v>220</v>
      </c>
      <c r="F90" s="23"/>
      <c r="G90" s="15"/>
      <c r="H90" s="23">
        <f ca="1">IF(OR(Age[[#This Row],[Closed?]]="Delivered", Age[[#This Row],[Closed?]]="Closed"), Age[[#This Row],[Delivered/Closed Date]]-Age[[#This Row],[Date Opened]], TODAY() - VLOOKUP(A90,'Age Data (Hidden)'!$A:$C,3,FALSE))</f>
        <v>304</v>
      </c>
      <c r="I90" s="23"/>
      <c r="J90" s="103" t="str">
        <f t="shared" si="67"/>
        <v>N/A</v>
      </c>
      <c r="K90" s="103" t="str">
        <f t="shared" si="68"/>
        <v>N/A</v>
      </c>
      <c r="L90" s="103" t="str">
        <f t="shared" si="69"/>
        <v>N/A</v>
      </c>
      <c r="M90" s="103" t="str">
        <f t="shared" si="70"/>
        <v>N/A</v>
      </c>
      <c r="N90" s="103">
        <f t="shared" si="71"/>
        <v>5</v>
      </c>
      <c r="O90" s="103">
        <f t="shared" si="72"/>
        <v>36</v>
      </c>
      <c r="P90" s="103">
        <f t="shared" si="73"/>
        <v>66</v>
      </c>
      <c r="Q90" s="103">
        <f t="shared" si="74"/>
        <v>97</v>
      </c>
      <c r="R90" s="103">
        <f t="shared" si="75"/>
        <v>128</v>
      </c>
      <c r="S90" s="103">
        <f t="shared" si="76"/>
        <v>158</v>
      </c>
      <c r="T90" s="103">
        <f t="shared" si="77"/>
        <v>189</v>
      </c>
      <c r="U90" s="103">
        <f t="shared" si="78"/>
        <v>219</v>
      </c>
      <c r="V90" s="103">
        <f t="shared" si="79"/>
        <v>250</v>
      </c>
      <c r="W90" s="103">
        <f t="shared" si="30"/>
        <v>281</v>
      </c>
      <c r="X90" s="103">
        <f t="shared" ca="1" si="31"/>
        <v>304</v>
      </c>
    </row>
    <row r="91" spans="1:24" x14ac:dyDescent="0.3">
      <c r="A91" s="8" t="s">
        <v>373</v>
      </c>
      <c r="C91" s="15">
        <v>41901</v>
      </c>
      <c r="D91" s="23"/>
      <c r="E91" s="23" t="s">
        <v>220</v>
      </c>
      <c r="F91" s="23"/>
      <c r="G91" s="15"/>
      <c r="H91" s="23">
        <f ca="1">IF(OR(Age[[#This Row],[Closed?]]="Delivered", Age[[#This Row],[Closed?]]="Closed"), Age[[#This Row],[Delivered/Closed Date]]-Age[[#This Row],[Date Opened]], TODAY() - VLOOKUP(A91,'Age Data (Hidden)'!$A:$C,3,FALSE))</f>
        <v>889</v>
      </c>
      <c r="I91" s="23"/>
      <c r="J91" s="103">
        <f t="shared" ref="J91:J96" si="80">IF($C91&lt;42370,IF($G91&lt;&gt;"", IF($G91&lt;42370,"N/A", IF($G91 &lt;42370,$G91-$C91,42370-$C91)),42370-$C91), "N/A")</f>
        <v>469</v>
      </c>
      <c r="K91" s="103">
        <f t="shared" ref="K91:K96" si="81">IF($C91&lt;42401,IF($G91&lt;&gt;"", IF($G91&lt;42370,"N/A", IF($G91 &lt;42401,$G91-$C91,42401-$C91)),42401-$C91), "N/A")</f>
        <v>500</v>
      </c>
      <c r="L91" s="103">
        <f t="shared" ref="L91:L96" si="82">IF($C91&lt;42430,IF($G91&lt;&gt;"", IF($G91&lt;42401,"N/A", IF($G91 &lt;42430,$G91-$C91,42430-$C91)),42430-$C91), "N/A")</f>
        <v>529</v>
      </c>
      <c r="M91" s="103">
        <f t="shared" ref="M91:M96" si="83">IF($C91&lt;42461,IF($G91&lt;&gt;"", IF($G91&lt;42430,"N/A", IF($G91 &lt;42461,$G91-$C91,42461-$C91)),42461-$C91), "N/A")</f>
        <v>560</v>
      </c>
      <c r="N91" s="103">
        <f t="shared" ref="N91:N96" si="84">IF($C91&lt;42491,IF($G91&lt;&gt;"", IF($G91&lt;42461,"N/A", IF($G91 &lt;42491,$G91-$C91,42491-$C91)),42491-$C91), "N/A")</f>
        <v>590</v>
      </c>
      <c r="O91" s="103">
        <f t="shared" ref="O91:O96" si="85">IF($C91&lt;42522,IF($G91&lt;&gt;"", IF($G91&lt;42491,"N/A", IF($G91 &lt;42522,$G91-$C91,42522-$C91)),42522-$C91), "N/A")</f>
        <v>621</v>
      </c>
      <c r="P91" s="103">
        <f t="shared" ref="P91:P96" si="86">IF($C91&lt;42552,IF($G91&lt;&gt;"", IF($G91&lt;42522,"N/A", IF($G91 &lt;42552,$G91-$C91,42552-$C91)),42552-$C91), "N/A")</f>
        <v>651</v>
      </c>
      <c r="Q91" s="103">
        <f t="shared" ref="Q91:Q96" si="87">IF($C91&lt;42583,IF($G91&lt;&gt;"", IF($G91&lt;42552,"N/A", IF($G91 &lt;42583,$G91-$C91,42583-$C91)),42583-$C91), "N/A")</f>
        <v>682</v>
      </c>
      <c r="R91" s="103">
        <f t="shared" ref="R91:R96" si="88">IF($C91&lt;42614,IF($G91&lt;&gt;"", IF($G91&lt;42583,"N/A", IF($G91 &lt;42614,$G91-$C91,42614-$C91)),42614-$C91), "N/A")</f>
        <v>713</v>
      </c>
      <c r="S91" s="103">
        <f t="shared" ref="S91:S96" si="89">IF($C91&lt;42644,IF($G91&lt;&gt;"", IF($G91&lt;42614,"N/A", IF($G91 &lt;42644,$G91-$C91,42644-$C91)),42644-$C91), "N/A")</f>
        <v>743</v>
      </c>
      <c r="T91" s="103">
        <f t="shared" ref="T91:T96" si="90">IF($C91&lt;42675,IF($G91&lt;&gt;"", IF($G91&lt;42644,"N/A", IF($G91 &lt;42675,$G91-$C91,42675-$C91)),42675-$C91), "N/A")</f>
        <v>774</v>
      </c>
      <c r="U91" s="103">
        <f t="shared" ref="U91:U96" si="91">IF($C91&lt;42705,IF($G91&lt;&gt;"", IF($G91&lt;42675,"N/A", IF($G91 &lt;42705,$G91-$C91,42705-$C91)),42705-$C91), "N/A")</f>
        <v>804</v>
      </c>
      <c r="V91" s="103">
        <f t="shared" ref="V91:V96" si="92">IF($C91&lt;42736,IF($G91&lt;&gt;"", IF($G91&lt;42705,"N/A", IF($G91 &lt;42736,$G91-$C91,42736-$C91)),42736-$C91), "N/A")</f>
        <v>835</v>
      </c>
      <c r="W91" s="103">
        <f t="shared" si="30"/>
        <v>866</v>
      </c>
      <c r="X91" s="103">
        <f t="shared" ca="1" si="31"/>
        <v>889</v>
      </c>
    </row>
    <row r="92" spans="1:24" x14ac:dyDescent="0.3">
      <c r="A92" s="8" t="s">
        <v>382</v>
      </c>
      <c r="C92" s="15">
        <v>42731</v>
      </c>
      <c r="D92" s="23">
        <v>46137</v>
      </c>
      <c r="E92" s="23" t="s">
        <v>220</v>
      </c>
      <c r="F92" s="23"/>
      <c r="G92" s="15"/>
      <c r="H92" s="23">
        <f ca="1">IF(OR(Age[[#This Row],[Closed?]]="Delivered", Age[[#This Row],[Closed?]]="Closed"), Age[[#This Row],[Delivered/Closed Date]]-Age[[#This Row],[Date Opened]], TODAY() - VLOOKUP(A92,'Age Data (Hidden)'!$A:$C,3,FALSE))</f>
        <v>59</v>
      </c>
      <c r="I92" s="23"/>
      <c r="J92" s="103" t="str">
        <f t="shared" si="80"/>
        <v>N/A</v>
      </c>
      <c r="K92" s="103" t="str">
        <f t="shared" si="81"/>
        <v>N/A</v>
      </c>
      <c r="L92" s="103" t="str">
        <f t="shared" si="82"/>
        <v>N/A</v>
      </c>
      <c r="M92" s="103" t="str">
        <f t="shared" si="83"/>
        <v>N/A</v>
      </c>
      <c r="N92" s="103" t="str">
        <f t="shared" si="84"/>
        <v>N/A</v>
      </c>
      <c r="O92" s="103" t="str">
        <f t="shared" si="85"/>
        <v>N/A</v>
      </c>
      <c r="P92" s="103" t="str">
        <f t="shared" si="86"/>
        <v>N/A</v>
      </c>
      <c r="Q92" s="103" t="str">
        <f t="shared" si="87"/>
        <v>N/A</v>
      </c>
      <c r="R92" s="103" t="str">
        <f t="shared" si="88"/>
        <v>N/A</v>
      </c>
      <c r="S92" s="103" t="str">
        <f t="shared" si="89"/>
        <v>N/A</v>
      </c>
      <c r="T92" s="103" t="str">
        <f t="shared" si="90"/>
        <v>N/A</v>
      </c>
      <c r="U92" s="103" t="str">
        <f t="shared" si="91"/>
        <v>N/A</v>
      </c>
      <c r="V92" s="103">
        <f t="shared" si="92"/>
        <v>5</v>
      </c>
      <c r="W92" s="103">
        <f t="shared" ref="W92:W97" si="93">IF($C92&lt;42767,IF($G92&lt;&gt;"", IF($G92&lt;42736,"N/A", IF($G92 &lt;42767,$G92-$C92,42767-$C92)),42767-$C92), "N/A")</f>
        <v>36</v>
      </c>
      <c r="X92" s="103">
        <f t="shared" ref="X92:X97" ca="1" si="94">IF($C92&lt;42795,IF($G92&lt;&gt;"", IF($G92&lt;42767,"N/A", IF($G92 &lt;42795,$G92-$C92,42795-$C92)),TODAY()-$C92), "N/A")</f>
        <v>59</v>
      </c>
    </row>
    <row r="93" spans="1:24" x14ac:dyDescent="0.3">
      <c r="A93" s="8" t="s">
        <v>383</v>
      </c>
      <c r="C93" s="15">
        <v>42725</v>
      </c>
      <c r="D93" s="23">
        <v>45758</v>
      </c>
      <c r="E93" s="23" t="s">
        <v>220</v>
      </c>
      <c r="F93" s="23"/>
      <c r="G93" s="15"/>
      <c r="H93" s="23">
        <f ca="1">IF(OR(Age[[#This Row],[Closed?]]="Delivered", Age[[#This Row],[Closed?]]="Closed"), Age[[#This Row],[Delivered/Closed Date]]-Age[[#This Row],[Date Opened]], TODAY() - VLOOKUP(A93,'Age Data (Hidden)'!$A:$C,3,FALSE))</f>
        <v>65</v>
      </c>
      <c r="I93" s="23"/>
      <c r="J93" s="103" t="str">
        <f t="shared" si="80"/>
        <v>N/A</v>
      </c>
      <c r="K93" s="103" t="str">
        <f t="shared" si="81"/>
        <v>N/A</v>
      </c>
      <c r="L93" s="103" t="str">
        <f t="shared" si="82"/>
        <v>N/A</v>
      </c>
      <c r="M93" s="103" t="str">
        <f t="shared" si="83"/>
        <v>N/A</v>
      </c>
      <c r="N93" s="103" t="str">
        <f t="shared" si="84"/>
        <v>N/A</v>
      </c>
      <c r="O93" s="103" t="str">
        <f t="shared" si="85"/>
        <v>N/A</v>
      </c>
      <c r="P93" s="103" t="str">
        <f t="shared" si="86"/>
        <v>N/A</v>
      </c>
      <c r="Q93" s="103" t="str">
        <f t="shared" si="87"/>
        <v>N/A</v>
      </c>
      <c r="R93" s="103" t="str">
        <f t="shared" si="88"/>
        <v>N/A</v>
      </c>
      <c r="S93" s="103" t="str">
        <f t="shared" si="89"/>
        <v>N/A</v>
      </c>
      <c r="T93" s="103" t="str">
        <f t="shared" si="90"/>
        <v>N/A</v>
      </c>
      <c r="U93" s="103" t="str">
        <f t="shared" si="91"/>
        <v>N/A</v>
      </c>
      <c r="V93" s="103">
        <f t="shared" si="92"/>
        <v>11</v>
      </c>
      <c r="W93" s="103">
        <f t="shared" si="93"/>
        <v>42</v>
      </c>
      <c r="X93" s="103">
        <f t="shared" ca="1" si="94"/>
        <v>65</v>
      </c>
    </row>
    <row r="94" spans="1:24" x14ac:dyDescent="0.3">
      <c r="A94" s="8" t="s">
        <v>386</v>
      </c>
      <c r="C94" s="15">
        <v>42773</v>
      </c>
      <c r="D94">
        <v>49764</v>
      </c>
      <c r="E94" s="23" t="s">
        <v>220</v>
      </c>
      <c r="F94" s="23"/>
      <c r="G94" s="15"/>
      <c r="H94" s="23">
        <f ca="1">IF(OR(Age[[#This Row],[Closed?]]="Delivered", Age[[#This Row],[Closed?]]="Closed"), Age[[#This Row],[Delivered/Closed Date]]-Age[[#This Row],[Date Opened]], TODAY() - VLOOKUP(A94,'Age Data (Hidden)'!$A:$C,3,FALSE))</f>
        <v>17</v>
      </c>
      <c r="I94" s="23"/>
      <c r="J94" s="103" t="str">
        <f t="shared" si="80"/>
        <v>N/A</v>
      </c>
      <c r="K94" s="103" t="str">
        <f t="shared" si="81"/>
        <v>N/A</v>
      </c>
      <c r="L94" s="103" t="str">
        <f t="shared" si="82"/>
        <v>N/A</v>
      </c>
      <c r="M94" s="103" t="str">
        <f t="shared" si="83"/>
        <v>N/A</v>
      </c>
      <c r="N94" s="103" t="str">
        <f t="shared" si="84"/>
        <v>N/A</v>
      </c>
      <c r="O94" s="103" t="str">
        <f t="shared" si="85"/>
        <v>N/A</v>
      </c>
      <c r="P94" s="103" t="str">
        <f t="shared" si="86"/>
        <v>N/A</v>
      </c>
      <c r="Q94" s="103" t="str">
        <f t="shared" si="87"/>
        <v>N/A</v>
      </c>
      <c r="R94" s="103" t="str">
        <f t="shared" si="88"/>
        <v>N/A</v>
      </c>
      <c r="S94" s="103" t="str">
        <f t="shared" si="89"/>
        <v>N/A</v>
      </c>
      <c r="T94" s="103" t="str">
        <f t="shared" si="90"/>
        <v>N/A</v>
      </c>
      <c r="U94" s="103" t="str">
        <f t="shared" si="91"/>
        <v>N/A</v>
      </c>
      <c r="V94" s="103" t="str">
        <f t="shared" si="92"/>
        <v>N/A</v>
      </c>
      <c r="W94" s="103" t="str">
        <f t="shared" si="93"/>
        <v>N/A</v>
      </c>
      <c r="X94" s="103">
        <f t="shared" ca="1" si="94"/>
        <v>17</v>
      </c>
    </row>
    <row r="95" spans="1:24" x14ac:dyDescent="0.3">
      <c r="A95" s="8" t="s">
        <v>400</v>
      </c>
      <c r="C95" s="15">
        <v>42061</v>
      </c>
      <c r="D95" s="23"/>
      <c r="E95" s="23" t="s">
        <v>220</v>
      </c>
      <c r="F95" s="23"/>
      <c r="G95" s="15"/>
      <c r="H95" s="23">
        <f ca="1">IF(OR(Age[[#This Row],[Closed?]]="Delivered", Age[[#This Row],[Closed?]]="Closed"), Age[[#This Row],[Delivered/Closed Date]]-Age[[#This Row],[Date Opened]], TODAY() - VLOOKUP(A95,'Age Data (Hidden)'!$A:$C,3,FALSE))</f>
        <v>729</v>
      </c>
      <c r="I95" s="23"/>
      <c r="J95" s="103">
        <f t="shared" si="80"/>
        <v>309</v>
      </c>
      <c r="K95" s="103">
        <f t="shared" si="81"/>
        <v>340</v>
      </c>
      <c r="L95" s="103">
        <f t="shared" si="82"/>
        <v>369</v>
      </c>
      <c r="M95" s="103">
        <f t="shared" si="83"/>
        <v>400</v>
      </c>
      <c r="N95" s="103">
        <f t="shared" si="84"/>
        <v>430</v>
      </c>
      <c r="O95" s="103">
        <f t="shared" si="85"/>
        <v>461</v>
      </c>
      <c r="P95" s="103">
        <f t="shared" si="86"/>
        <v>491</v>
      </c>
      <c r="Q95" s="103">
        <f t="shared" si="87"/>
        <v>522</v>
      </c>
      <c r="R95" s="103">
        <f t="shared" si="88"/>
        <v>553</v>
      </c>
      <c r="S95" s="103">
        <f t="shared" si="89"/>
        <v>583</v>
      </c>
      <c r="T95" s="103">
        <f t="shared" si="90"/>
        <v>614</v>
      </c>
      <c r="U95" s="103">
        <f t="shared" si="91"/>
        <v>644</v>
      </c>
      <c r="V95" s="103">
        <f t="shared" si="92"/>
        <v>675</v>
      </c>
      <c r="W95" s="103">
        <f t="shared" si="93"/>
        <v>706</v>
      </c>
      <c r="X95" s="103">
        <f t="shared" ca="1" si="94"/>
        <v>729</v>
      </c>
    </row>
    <row r="96" spans="1:24" x14ac:dyDescent="0.3">
      <c r="A96" s="8" t="s">
        <v>381</v>
      </c>
      <c r="C96" s="15">
        <v>42485</v>
      </c>
      <c r="D96" s="23"/>
      <c r="E96" s="23" t="s">
        <v>220</v>
      </c>
      <c r="F96" s="23"/>
      <c r="G96" s="15"/>
      <c r="H96" s="23">
        <f ca="1">IF(OR(Age[[#This Row],[Closed?]]="Delivered", Age[[#This Row],[Closed?]]="Closed"), Age[[#This Row],[Delivered/Closed Date]]-Age[[#This Row],[Date Opened]], TODAY() - VLOOKUP(A96,'Age Data (Hidden)'!$A:$C,3,FALSE))</f>
        <v>305</v>
      </c>
      <c r="I96" s="23"/>
      <c r="J96" s="103" t="str">
        <f t="shared" si="80"/>
        <v>N/A</v>
      </c>
      <c r="K96" s="103" t="str">
        <f t="shared" si="81"/>
        <v>N/A</v>
      </c>
      <c r="L96" s="103" t="str">
        <f t="shared" si="82"/>
        <v>N/A</v>
      </c>
      <c r="M96" s="103" t="str">
        <f t="shared" si="83"/>
        <v>N/A</v>
      </c>
      <c r="N96" s="103">
        <f t="shared" si="84"/>
        <v>6</v>
      </c>
      <c r="O96" s="103">
        <f t="shared" si="85"/>
        <v>37</v>
      </c>
      <c r="P96" s="103">
        <f t="shared" si="86"/>
        <v>67</v>
      </c>
      <c r="Q96" s="103">
        <f t="shared" si="87"/>
        <v>98</v>
      </c>
      <c r="R96" s="103">
        <f t="shared" si="88"/>
        <v>129</v>
      </c>
      <c r="S96" s="103">
        <f t="shared" si="89"/>
        <v>159</v>
      </c>
      <c r="T96" s="103">
        <f t="shared" si="90"/>
        <v>190</v>
      </c>
      <c r="U96" s="103">
        <f t="shared" si="91"/>
        <v>220</v>
      </c>
      <c r="V96" s="103">
        <f t="shared" si="92"/>
        <v>251</v>
      </c>
      <c r="W96" s="103">
        <f t="shared" si="93"/>
        <v>282</v>
      </c>
      <c r="X96" s="103">
        <f t="shared" ca="1" si="94"/>
        <v>305</v>
      </c>
    </row>
    <row r="97" spans="1:24" x14ac:dyDescent="0.3">
      <c r="A97" s="8" t="s">
        <v>402</v>
      </c>
      <c r="C97" s="15">
        <v>42745</v>
      </c>
      <c r="D97" s="23">
        <v>47291</v>
      </c>
      <c r="E97" s="23" t="s">
        <v>220</v>
      </c>
      <c r="F97" s="23"/>
      <c r="G97" s="15"/>
      <c r="H97" s="23">
        <f ca="1">IF(OR(Age[[#This Row],[Closed?]]="Delivered", Age[[#This Row],[Closed?]]="Closed"), Age[[#This Row],[Delivered/Closed Date]]-Age[[#This Row],[Date Opened]], TODAY() - VLOOKUP(A97,'Age Data (Hidden)'!$A:$C,3,FALSE))</f>
        <v>45</v>
      </c>
      <c r="I97" s="23"/>
      <c r="J97" s="103" t="str">
        <f>IF($C97&lt;42370,IF($G97&lt;&gt;"", IF($G97&lt;42370,"N/A", IF($G97 &lt;42370,$G97-$C97,42370-$C97)),42370-$C97), "N/A")</f>
        <v>N/A</v>
      </c>
      <c r="K97" s="103" t="str">
        <f>IF($C97&lt;42401,IF($G97&lt;&gt;"", IF($G97&lt;42370,"N/A", IF($G97 &lt;42401,$G97-$C97,42401-$C97)),42401-$C97), "N/A")</f>
        <v>N/A</v>
      </c>
      <c r="L97" s="103" t="str">
        <f>IF($C97&lt;42430,IF($G97&lt;&gt;"", IF($G97&lt;42401,"N/A", IF($G97 &lt;42430,$G97-$C97,42430-$C97)),42430-$C97), "N/A")</f>
        <v>N/A</v>
      </c>
      <c r="M97" s="103" t="str">
        <f>IF($C97&lt;42461,IF($G97&lt;&gt;"", IF($G97&lt;42430,"N/A", IF($G97 &lt;42461,$G97-$C97,42461-$C97)),42461-$C97), "N/A")</f>
        <v>N/A</v>
      </c>
      <c r="N97" s="103" t="str">
        <f>IF($C97&lt;42491,IF($G97&lt;&gt;"", IF($G97&lt;42461,"N/A", IF($G97 &lt;42491,$G97-$C97,42491-$C97)),42491-$C97), "N/A")</f>
        <v>N/A</v>
      </c>
      <c r="O97" s="103" t="str">
        <f>IF($C97&lt;42522,IF($G97&lt;&gt;"", IF($G97&lt;42491,"N/A", IF($G97 &lt;42522,$G97-$C97,42522-$C97)),42522-$C97), "N/A")</f>
        <v>N/A</v>
      </c>
      <c r="P97" s="103" t="str">
        <f>IF($C97&lt;42552,IF($G97&lt;&gt;"", IF($G97&lt;42522,"N/A", IF($G97 &lt;42552,$G97-$C97,42552-$C97)),42552-$C97), "N/A")</f>
        <v>N/A</v>
      </c>
      <c r="Q97" s="103" t="str">
        <f>IF($C97&lt;42583,IF($G97&lt;&gt;"", IF($G97&lt;42552,"N/A", IF($G97 &lt;42583,$G97-$C97,42583-$C97)),42583-$C97), "N/A")</f>
        <v>N/A</v>
      </c>
      <c r="R97" s="103" t="str">
        <f>IF($C97&lt;42614,IF($G97&lt;&gt;"", IF($G97&lt;42583,"N/A", IF($G97 &lt;42614,$G97-$C97,42614-$C97)),42614-$C97), "N/A")</f>
        <v>N/A</v>
      </c>
      <c r="S97" s="103" t="str">
        <f>IF($C97&lt;42644,IF($G97&lt;&gt;"", IF($G97&lt;42614,"N/A", IF($G97 &lt;42644,$G97-$C97,42644-$C97)),42644-$C97), "N/A")</f>
        <v>N/A</v>
      </c>
      <c r="T97" s="103" t="str">
        <f>IF($C97&lt;42675,IF($G97&lt;&gt;"", IF($G97&lt;42644,"N/A", IF($G97 &lt;42675,$G97-$C97,42675-$C97)),42675-$C97), "N/A")</f>
        <v>N/A</v>
      </c>
      <c r="U97" s="103" t="str">
        <f>IF($C97&lt;42705,IF($G97&lt;&gt;"", IF($G97&lt;42675,"N/A", IF($G97 &lt;42705,$G97-$C97,42705-$C97)),42705-$C97), "N/A")</f>
        <v>N/A</v>
      </c>
      <c r="V97" s="103" t="str">
        <f>IF($C97&lt;42736,IF($G97&lt;&gt;"", IF($G97&lt;42705,"N/A", IF($G97 &lt;42736,$G97-$C97,42736-$C97)),42736-$C97), "N/A")</f>
        <v>N/A</v>
      </c>
      <c r="W97" s="103">
        <f t="shared" si="93"/>
        <v>22</v>
      </c>
      <c r="X97" s="103">
        <f t="shared" ca="1" si="94"/>
        <v>45</v>
      </c>
    </row>
    <row r="98" spans="1:24" x14ac:dyDescent="0.3">
      <c r="D98" s="23"/>
      <c r="E98" s="23"/>
    </row>
    <row r="99" spans="1:24" x14ac:dyDescent="0.3">
      <c r="D99" s="23"/>
      <c r="E99" s="23"/>
    </row>
    <row r="100" spans="1:24" x14ac:dyDescent="0.3">
      <c r="D100" s="23"/>
      <c r="E100" s="23"/>
    </row>
    <row r="101" spans="1:24" x14ac:dyDescent="0.3">
      <c r="D101" s="23"/>
      <c r="E101" s="23"/>
    </row>
    <row r="102" spans="1:24" x14ac:dyDescent="0.3">
      <c r="D102" s="23"/>
      <c r="E102" s="23"/>
    </row>
    <row r="103" spans="1:24" x14ac:dyDescent="0.3">
      <c r="D103" s="23"/>
      <c r="E103" s="23"/>
    </row>
    <row r="104" spans="1:24" x14ac:dyDescent="0.3">
      <c r="D104" s="23"/>
      <c r="E104" s="23"/>
    </row>
    <row r="105" spans="1:24" x14ac:dyDescent="0.3">
      <c r="D105" s="23"/>
      <c r="E105" s="23"/>
    </row>
    <row r="106" spans="1:24" x14ac:dyDescent="0.3">
      <c r="D106" s="23"/>
      <c r="E106" s="23"/>
    </row>
    <row r="107" spans="1:24" x14ac:dyDescent="0.3">
      <c r="D107" s="23"/>
      <c r="E107" s="23"/>
    </row>
    <row r="108" spans="1:24" x14ac:dyDescent="0.3">
      <c r="D108" s="23"/>
      <c r="E108" s="23"/>
    </row>
    <row r="109" spans="1:24" x14ac:dyDescent="0.3">
      <c r="D109" s="23"/>
      <c r="E109" s="23"/>
    </row>
    <row r="110" spans="1:24" x14ac:dyDescent="0.3">
      <c r="D110" s="23"/>
      <c r="E110" s="23"/>
    </row>
    <row r="111" spans="1:24" x14ac:dyDescent="0.3">
      <c r="D111" s="23"/>
      <c r="E111" s="23"/>
    </row>
    <row r="112" spans="1:24" x14ac:dyDescent="0.3">
      <c r="D112" s="23"/>
      <c r="E112" s="23"/>
    </row>
    <row r="113" spans="4:5" x14ac:dyDescent="0.3">
      <c r="D113" s="23"/>
      <c r="E113" s="23"/>
    </row>
    <row r="114" spans="4:5" x14ac:dyDescent="0.3">
      <c r="D114" s="23"/>
      <c r="E114" s="23"/>
    </row>
    <row r="115" spans="4:5" x14ac:dyDescent="0.3">
      <c r="D115" s="23"/>
      <c r="E115" s="23"/>
    </row>
    <row r="116" spans="4:5" x14ac:dyDescent="0.3">
      <c r="D116" s="23"/>
      <c r="E116" s="23"/>
    </row>
    <row r="117" spans="4:5" x14ac:dyDescent="0.3">
      <c r="D117" s="23"/>
      <c r="E117" s="23"/>
    </row>
    <row r="118" spans="4:5" x14ac:dyDescent="0.3">
      <c r="D118" s="23"/>
      <c r="E118" s="23"/>
    </row>
    <row r="119" spans="4:5" x14ac:dyDescent="0.3">
      <c r="D119" s="23"/>
      <c r="E119" s="23"/>
    </row>
    <row r="120" spans="4:5" x14ac:dyDescent="0.3">
      <c r="D120" s="23"/>
      <c r="E120" s="23"/>
    </row>
    <row r="121" spans="4:5" x14ac:dyDescent="0.3">
      <c r="D121" s="23"/>
      <c r="E121" s="23"/>
    </row>
    <row r="122" spans="4:5" x14ac:dyDescent="0.3">
      <c r="D122" s="23"/>
      <c r="E122" s="23"/>
    </row>
    <row r="123" spans="4:5" x14ac:dyDescent="0.3">
      <c r="D123" s="23"/>
      <c r="E123" s="23"/>
    </row>
    <row r="124" spans="4:5" x14ac:dyDescent="0.3">
      <c r="D124" s="23"/>
      <c r="E124" s="23"/>
    </row>
    <row r="125" spans="4:5" x14ac:dyDescent="0.3">
      <c r="D125" s="23"/>
      <c r="E125" s="23"/>
    </row>
    <row r="126" spans="4:5" x14ac:dyDescent="0.3">
      <c r="D126" s="23"/>
      <c r="E126" s="23"/>
    </row>
    <row r="127" spans="4:5" x14ac:dyDescent="0.3">
      <c r="D127" s="23"/>
      <c r="E127" s="23"/>
    </row>
    <row r="128" spans="4:5" x14ac:dyDescent="0.3">
      <c r="D128" s="23"/>
      <c r="E128" s="23"/>
    </row>
    <row r="129" spans="4:5" x14ac:dyDescent="0.3">
      <c r="D129" s="23"/>
      <c r="E129" s="23"/>
    </row>
    <row r="130" spans="4:5" x14ac:dyDescent="0.3">
      <c r="D130" s="23"/>
      <c r="E130" s="23"/>
    </row>
    <row r="131" spans="4:5" x14ac:dyDescent="0.3">
      <c r="D131" s="23"/>
      <c r="E131" s="23"/>
    </row>
    <row r="132" spans="4:5" x14ac:dyDescent="0.3">
      <c r="D132" s="23"/>
      <c r="E132" s="23"/>
    </row>
    <row r="133" spans="4:5" x14ac:dyDescent="0.3">
      <c r="D133" s="23"/>
      <c r="E133" s="23"/>
    </row>
    <row r="134" spans="4:5" x14ac:dyDescent="0.3">
      <c r="D134" s="23"/>
      <c r="E134" s="23"/>
    </row>
    <row r="135" spans="4:5" x14ac:dyDescent="0.3">
      <c r="D135" s="23"/>
      <c r="E135" s="23"/>
    </row>
    <row r="136" spans="4:5" x14ac:dyDescent="0.3">
      <c r="D136" s="23"/>
      <c r="E136" s="23"/>
    </row>
    <row r="137" spans="4:5" x14ac:dyDescent="0.3">
      <c r="D137" s="23"/>
      <c r="E137" s="23"/>
    </row>
    <row r="138" spans="4:5" x14ac:dyDescent="0.3">
      <c r="D138" s="23"/>
      <c r="E138" s="23"/>
    </row>
    <row r="139" spans="4:5" x14ac:dyDescent="0.3">
      <c r="D139" s="23"/>
      <c r="E139" s="23"/>
    </row>
    <row r="140" spans="4:5" x14ac:dyDescent="0.3">
      <c r="D140" s="23"/>
      <c r="E140" s="23"/>
    </row>
    <row r="141" spans="4:5" x14ac:dyDescent="0.3">
      <c r="D141" s="23"/>
      <c r="E141" s="23"/>
    </row>
    <row r="142" spans="4:5" x14ac:dyDescent="0.3">
      <c r="D142" s="23"/>
      <c r="E142" s="23"/>
    </row>
    <row r="143" spans="4:5" x14ac:dyDescent="0.3">
      <c r="D143" s="23"/>
      <c r="E143" s="23"/>
    </row>
    <row r="144" spans="4:5" x14ac:dyDescent="0.3">
      <c r="D144" s="23"/>
      <c r="E144" s="23"/>
    </row>
    <row r="145" spans="4:5" x14ac:dyDescent="0.3">
      <c r="D145" s="23"/>
      <c r="E145" s="23"/>
    </row>
    <row r="146" spans="4:5" x14ac:dyDescent="0.3">
      <c r="D146" s="23"/>
      <c r="E146" s="23"/>
    </row>
    <row r="147" spans="4:5" x14ac:dyDescent="0.3">
      <c r="D147" s="23"/>
      <c r="E147" s="23"/>
    </row>
    <row r="148" spans="4:5" x14ac:dyDescent="0.3">
      <c r="D148" s="23"/>
      <c r="E148" s="23"/>
    </row>
    <row r="149" spans="4:5" x14ac:dyDescent="0.3">
      <c r="D149" s="23"/>
      <c r="E149" s="23"/>
    </row>
    <row r="150" spans="4:5" x14ac:dyDescent="0.3">
      <c r="D150" s="23"/>
      <c r="E150" s="23"/>
    </row>
    <row r="151" spans="4:5" x14ac:dyDescent="0.3">
      <c r="D151" s="23"/>
      <c r="E151" s="23"/>
    </row>
    <row r="152" spans="4:5" x14ac:dyDescent="0.3">
      <c r="D152" s="23"/>
      <c r="E152" s="23"/>
    </row>
    <row r="153" spans="4:5" x14ac:dyDescent="0.3">
      <c r="D153" s="23"/>
      <c r="E153" s="23"/>
    </row>
    <row r="154" spans="4:5" x14ac:dyDescent="0.3">
      <c r="D154" s="23"/>
      <c r="E154" s="23"/>
    </row>
    <row r="155" spans="4:5" x14ac:dyDescent="0.3">
      <c r="D155" s="23"/>
      <c r="E155" s="23"/>
    </row>
    <row r="156" spans="4:5" x14ac:dyDescent="0.3">
      <c r="D156" s="23"/>
      <c r="E156" s="23"/>
    </row>
    <row r="157" spans="4:5" x14ac:dyDescent="0.3">
      <c r="D157" s="23"/>
      <c r="E157" s="23"/>
    </row>
    <row r="158" spans="4:5" x14ac:dyDescent="0.3">
      <c r="D158" s="23"/>
      <c r="E158" s="23"/>
    </row>
    <row r="159" spans="4:5" x14ac:dyDescent="0.3">
      <c r="D159" s="23"/>
      <c r="E159" s="23"/>
    </row>
    <row r="160" spans="4:5" x14ac:dyDescent="0.3">
      <c r="D160" s="23"/>
      <c r="E160" s="23"/>
    </row>
    <row r="161" spans="4:5" x14ac:dyDescent="0.3">
      <c r="D161" s="23"/>
      <c r="E161" s="23"/>
    </row>
    <row r="162" spans="4:5" x14ac:dyDescent="0.3">
      <c r="D162" s="23"/>
      <c r="E162" s="23"/>
    </row>
    <row r="163" spans="4:5" x14ac:dyDescent="0.3">
      <c r="D163" s="23"/>
      <c r="E163" s="23"/>
    </row>
    <row r="164" spans="4:5" x14ac:dyDescent="0.3">
      <c r="D164" s="23"/>
      <c r="E164" s="23"/>
    </row>
    <row r="165" spans="4:5" x14ac:dyDescent="0.3">
      <c r="D165" s="23"/>
      <c r="E165" s="23"/>
    </row>
    <row r="166" spans="4:5" x14ac:dyDescent="0.3">
      <c r="D166" s="23"/>
      <c r="E166" s="23"/>
    </row>
    <row r="167" spans="4:5" x14ac:dyDescent="0.3">
      <c r="D167" s="23"/>
      <c r="E167" s="23"/>
    </row>
    <row r="168" spans="4:5" x14ac:dyDescent="0.3">
      <c r="D168" s="23"/>
      <c r="E168" s="23"/>
    </row>
    <row r="169" spans="4:5" x14ac:dyDescent="0.3">
      <c r="D169" s="23"/>
      <c r="E169" s="23"/>
    </row>
    <row r="170" spans="4:5" x14ac:dyDescent="0.3">
      <c r="D170" s="23"/>
      <c r="E170" s="23"/>
    </row>
    <row r="171" spans="4:5" x14ac:dyDescent="0.3">
      <c r="D171" s="23"/>
      <c r="E171" s="23"/>
    </row>
    <row r="172" spans="4:5" x14ac:dyDescent="0.3">
      <c r="D172" s="23"/>
      <c r="E172" s="23"/>
    </row>
    <row r="173" spans="4:5" x14ac:dyDescent="0.3">
      <c r="D173" s="23"/>
      <c r="E173" s="23"/>
    </row>
    <row r="174" spans="4:5" x14ac:dyDescent="0.3">
      <c r="D174" s="23"/>
      <c r="E174" s="23"/>
    </row>
    <row r="175" spans="4:5" x14ac:dyDescent="0.3">
      <c r="D175" s="23"/>
      <c r="E175" s="23"/>
    </row>
    <row r="176" spans="4:5" x14ac:dyDescent="0.3">
      <c r="D176" s="23"/>
      <c r="E176" s="23"/>
    </row>
    <row r="177" spans="4:5" x14ac:dyDescent="0.3">
      <c r="D177" s="23"/>
      <c r="E177" s="23"/>
    </row>
    <row r="178" spans="4:5" x14ac:dyDescent="0.3">
      <c r="D178" s="23"/>
      <c r="E178" s="23"/>
    </row>
    <row r="179" spans="4:5" x14ac:dyDescent="0.3">
      <c r="D179" s="23"/>
      <c r="E179" s="23"/>
    </row>
    <row r="180" spans="4:5" x14ac:dyDescent="0.3">
      <c r="D180" s="23"/>
      <c r="E180" s="23"/>
    </row>
    <row r="181" spans="4:5" x14ac:dyDescent="0.3">
      <c r="D181" s="23"/>
      <c r="E181" s="23"/>
    </row>
    <row r="182" spans="4:5" x14ac:dyDescent="0.3">
      <c r="D182" s="23"/>
      <c r="E182" s="23"/>
    </row>
    <row r="183" spans="4:5" x14ac:dyDescent="0.3">
      <c r="D183" s="23"/>
      <c r="E183" s="23"/>
    </row>
    <row r="184" spans="4:5" x14ac:dyDescent="0.3">
      <c r="D184" s="23"/>
      <c r="E184" s="23"/>
    </row>
    <row r="185" spans="4:5" x14ac:dyDescent="0.3">
      <c r="D185" s="23"/>
      <c r="E185" s="23"/>
    </row>
    <row r="186" spans="4:5" x14ac:dyDescent="0.3">
      <c r="D186" s="23"/>
      <c r="E186" s="23"/>
    </row>
    <row r="187" spans="4:5" x14ac:dyDescent="0.3">
      <c r="D187" s="23"/>
      <c r="E187" s="23"/>
    </row>
    <row r="188" spans="4:5" x14ac:dyDescent="0.3">
      <c r="D188" s="23"/>
      <c r="E188" s="23"/>
    </row>
    <row r="189" spans="4:5" x14ac:dyDescent="0.3">
      <c r="D189" s="23"/>
      <c r="E189" s="23"/>
    </row>
    <row r="190" spans="4:5" x14ac:dyDescent="0.3">
      <c r="D190" s="23"/>
      <c r="E190" s="23"/>
    </row>
    <row r="191" spans="4:5" x14ac:dyDescent="0.3">
      <c r="D191" s="23"/>
      <c r="E191" s="23"/>
    </row>
    <row r="192" spans="4:5" x14ac:dyDescent="0.3">
      <c r="D192" s="23"/>
      <c r="E192" s="23"/>
    </row>
    <row r="193" spans="4:5" x14ac:dyDescent="0.3">
      <c r="D193" s="23"/>
      <c r="E193" s="23"/>
    </row>
    <row r="194" spans="4:5" x14ac:dyDescent="0.3">
      <c r="D194" s="23"/>
      <c r="E194" s="23"/>
    </row>
    <row r="195" spans="4:5" x14ac:dyDescent="0.3">
      <c r="D195" s="23"/>
      <c r="E195" s="23"/>
    </row>
    <row r="196" spans="4:5" x14ac:dyDescent="0.3">
      <c r="D196" s="23"/>
      <c r="E196" s="23"/>
    </row>
    <row r="197" spans="4:5" x14ac:dyDescent="0.3">
      <c r="D197" s="23"/>
      <c r="E197" s="23"/>
    </row>
    <row r="198" spans="4:5" x14ac:dyDescent="0.3">
      <c r="D198" s="23"/>
      <c r="E198" s="23"/>
    </row>
    <row r="199" spans="4:5" x14ac:dyDescent="0.3">
      <c r="D199" s="23"/>
      <c r="E199" s="23"/>
    </row>
    <row r="200" spans="4:5" x14ac:dyDescent="0.3">
      <c r="D200" s="23"/>
      <c r="E200" s="23"/>
    </row>
    <row r="201" spans="4:5" x14ac:dyDescent="0.3">
      <c r="D201" s="23"/>
      <c r="E201" s="23"/>
    </row>
    <row r="202" spans="4:5" x14ac:dyDescent="0.3">
      <c r="D202" s="23"/>
      <c r="E202" s="23"/>
    </row>
    <row r="203" spans="4:5" x14ac:dyDescent="0.3">
      <c r="D203" s="23"/>
      <c r="E203" s="23"/>
    </row>
    <row r="204" spans="4:5" x14ac:dyDescent="0.3">
      <c r="D204" s="23"/>
      <c r="E204" s="23"/>
    </row>
    <row r="205" spans="4:5" x14ac:dyDescent="0.3">
      <c r="D205" s="23"/>
      <c r="E205" s="23"/>
    </row>
    <row r="206" spans="4:5" x14ac:dyDescent="0.3">
      <c r="D206" s="23"/>
      <c r="E206" s="23"/>
    </row>
    <row r="207" spans="4:5" x14ac:dyDescent="0.3">
      <c r="D207" s="23"/>
      <c r="E207" s="23"/>
    </row>
    <row r="208" spans="4:5" x14ac:dyDescent="0.3">
      <c r="D208" s="23"/>
      <c r="E208" s="23"/>
    </row>
    <row r="209" spans="4:5" x14ac:dyDescent="0.3">
      <c r="D209" s="23"/>
      <c r="E209" s="23"/>
    </row>
    <row r="210" spans="4:5" x14ac:dyDescent="0.3">
      <c r="D210" s="23"/>
      <c r="E210" s="23"/>
    </row>
    <row r="211" spans="4:5" x14ac:dyDescent="0.3">
      <c r="D211" s="23"/>
      <c r="E211" s="23"/>
    </row>
    <row r="212" spans="4:5" x14ac:dyDescent="0.3">
      <c r="D212" s="23"/>
      <c r="E212" s="23"/>
    </row>
    <row r="213" spans="4:5" x14ac:dyDescent="0.3">
      <c r="D213" s="23"/>
      <c r="E213" s="23"/>
    </row>
    <row r="214" spans="4:5" x14ac:dyDescent="0.3">
      <c r="D214" s="23"/>
      <c r="E214" s="23"/>
    </row>
    <row r="215" spans="4:5" x14ac:dyDescent="0.3">
      <c r="D215" s="23"/>
      <c r="E215" s="23"/>
    </row>
    <row r="216" spans="4:5" x14ac:dyDescent="0.3">
      <c r="D216" s="23"/>
      <c r="E216" s="23"/>
    </row>
    <row r="217" spans="4:5" x14ac:dyDescent="0.3">
      <c r="D217" s="23"/>
      <c r="E217" s="23"/>
    </row>
  </sheetData>
  <sheetProtection insertColumns="0" insertRows="0" sort="0" autoFilter="0"/>
  <pageMargins left="0.7" right="0.7" top="0.75" bottom="0.75" header="0.3" footer="0.3"/>
  <pageSetup orientation="portrait" r:id="rId1"/>
  <ignoredErrors>
    <ignoredError sqref="H63:H64 J63:T64" calculatedColumn="1"/>
  </ignoredErrors>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14:formula1>
            <xm:f>'Data Validation'!$D$3:$D$5</xm:f>
          </x14:formula1>
          <xm:sqref>I2:I12 I14:I1048576</xm:sqref>
        </x14:dataValidation>
        <x14:dataValidation type="list" allowBlank="1" showInputMessage="1" showErrorMessage="1">
          <x14:formula1>
            <xm:f>'Data Validation'!$C$3:$C$5</xm:f>
          </x14:formula1>
          <xm:sqref>E2:E1048576</xm:sqref>
        </x14:dataValidation>
        <x14:dataValidation type="list" allowBlank="1" showInputMessage="1" showErrorMessage="1">
          <x14:formula1>
            <xm:f>'Data Validation'!$B$3:$B$5</xm:f>
          </x14:formula1>
          <xm:sqref>B2:B1048576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O22"/>
  <sheetViews>
    <sheetView showGridLines="0" tabSelected="1" zoomScaleNormal="100" workbookViewId="0">
      <selection activeCell="A5" sqref="A5"/>
    </sheetView>
  </sheetViews>
  <sheetFormatPr defaultRowHeight="14.4" x14ac:dyDescent="0.3"/>
  <cols>
    <col min="1" max="1" width="38.5546875" bestFit="1" customWidth="1"/>
    <col min="2" max="2" width="5.21875" style="65" bestFit="1" customWidth="1"/>
    <col min="3" max="3" width="9.6640625" style="65" bestFit="1" customWidth="1"/>
    <col min="4" max="4" width="17.5546875" style="65" bestFit="1" customWidth="1"/>
    <col min="5" max="5" width="4.88671875" style="65" bestFit="1" customWidth="1"/>
    <col min="6" max="6" width="16.33203125" bestFit="1" customWidth="1"/>
    <col min="7" max="7" width="8.5546875" bestFit="1" customWidth="1"/>
    <col min="8" max="8" width="11.5546875" bestFit="1" customWidth="1"/>
    <col min="9" max="9" width="12" bestFit="1" customWidth="1"/>
    <col min="10" max="10" width="12.5546875" bestFit="1" customWidth="1"/>
    <col min="11" max="11" width="12.33203125" bestFit="1" customWidth="1"/>
    <col min="12" max="12" width="11.5546875" bestFit="1" customWidth="1"/>
    <col min="13" max="13" width="11.77734375" bestFit="1" customWidth="1"/>
    <col min="14" max="14" width="11.88671875" bestFit="1" customWidth="1"/>
    <col min="15" max="15" width="12.33203125" bestFit="1" customWidth="1"/>
    <col min="16" max="16" width="11.5546875" bestFit="1" customWidth="1"/>
    <col min="17" max="18" width="11.6640625" bestFit="1" customWidth="1"/>
  </cols>
  <sheetData>
    <row r="1" spans="1:41" ht="14.4" customHeight="1" x14ac:dyDescent="0.3">
      <c r="A1" s="66" t="s">
        <v>248</v>
      </c>
      <c r="B1" s="75"/>
      <c r="C1" s="75"/>
      <c r="D1" s="75"/>
      <c r="E1" s="75"/>
      <c r="F1" s="67"/>
      <c r="G1" s="196" t="s">
        <v>293</v>
      </c>
      <c r="H1" s="197"/>
      <c r="I1" s="197"/>
      <c r="J1" s="197"/>
      <c r="K1" s="197"/>
      <c r="L1" s="197"/>
      <c r="M1" s="197"/>
      <c r="N1" s="197"/>
      <c r="O1" s="197"/>
      <c r="P1" s="197"/>
      <c r="Q1" s="197"/>
      <c r="R1" s="138"/>
      <c r="S1" s="138"/>
      <c r="T1" s="138"/>
      <c r="U1" s="150"/>
      <c r="V1" s="119"/>
      <c r="W1" s="119"/>
      <c r="X1" s="119"/>
      <c r="Y1" s="119"/>
      <c r="Z1" s="119"/>
      <c r="AA1" s="119"/>
      <c r="AB1" s="119"/>
      <c r="AC1" s="119"/>
    </row>
    <row r="2" spans="1:41" x14ac:dyDescent="0.3">
      <c r="A2" s="68" t="s">
        <v>249</v>
      </c>
      <c r="B2" s="74"/>
      <c r="C2" s="74"/>
      <c r="D2" s="74"/>
      <c r="E2" s="74"/>
      <c r="F2" s="69"/>
      <c r="G2" s="139">
        <v>42370</v>
      </c>
      <c r="H2" s="139">
        <v>42401</v>
      </c>
      <c r="I2" s="139">
        <v>42430</v>
      </c>
      <c r="J2" s="139">
        <v>42461</v>
      </c>
      <c r="K2" s="139">
        <v>42491</v>
      </c>
      <c r="L2" s="139">
        <v>42522</v>
      </c>
      <c r="M2" s="139">
        <v>42552</v>
      </c>
      <c r="N2" s="139">
        <v>42583</v>
      </c>
      <c r="O2" s="139">
        <v>42614</v>
      </c>
      <c r="P2" s="139">
        <v>42644</v>
      </c>
      <c r="Q2" s="139">
        <v>42675</v>
      </c>
      <c r="R2" s="139">
        <v>42720</v>
      </c>
      <c r="S2" s="139">
        <v>42736</v>
      </c>
      <c r="T2" s="139">
        <v>42783</v>
      </c>
      <c r="U2" s="165"/>
      <c r="V2" s="136"/>
      <c r="W2" s="136"/>
      <c r="X2" s="136"/>
      <c r="Y2" s="136"/>
      <c r="Z2" s="136"/>
      <c r="AA2" s="136"/>
      <c r="AB2" s="136"/>
      <c r="AC2" s="136"/>
      <c r="AD2" s="137"/>
      <c r="AE2" s="137"/>
      <c r="AF2" s="137"/>
      <c r="AG2" s="137"/>
      <c r="AH2" s="137"/>
      <c r="AI2" s="137"/>
      <c r="AJ2" s="137"/>
      <c r="AK2" s="137"/>
      <c r="AL2" s="137"/>
      <c r="AM2" s="137"/>
      <c r="AN2" s="137"/>
      <c r="AO2" s="137"/>
    </row>
    <row r="3" spans="1:41" ht="15" thickBot="1" x14ac:dyDescent="0.35">
      <c r="A3" s="70">
        <v>42790</v>
      </c>
      <c r="B3" s="74"/>
      <c r="C3" s="74"/>
      <c r="D3" s="74"/>
      <c r="E3" s="74"/>
      <c r="F3" s="69"/>
      <c r="G3" s="118">
        <f>AVERAGE(Age[AgeJan2016])</f>
        <v>245.79310344827587</v>
      </c>
      <c r="H3" s="118">
        <f>AVERAGE(Age[AgeFeb2016])</f>
        <v>236.3235294117647</v>
      </c>
      <c r="I3" s="118">
        <f>AVERAGE(Age[AgeMar2016])</f>
        <v>218.95238095238096</v>
      </c>
      <c r="J3" s="118">
        <f>AVERAGE(Age[AgeApr2016])</f>
        <v>189.53571428571428</v>
      </c>
      <c r="K3" s="118">
        <f>AVERAGE(Age[AgeMay2016])</f>
        <v>200.79032258064515</v>
      </c>
      <c r="L3" s="118">
        <f>AVERAGE(Age[AgeJun2016])</f>
        <v>220.55384615384617</v>
      </c>
      <c r="M3" s="118">
        <f>AVERAGE(Age[AgeJuly2016])</f>
        <v>244.92307692307693</v>
      </c>
      <c r="N3" s="118">
        <f>AVERAGE(Age[AgeAug2016])</f>
        <v>273.77777777777777</v>
      </c>
      <c r="O3" s="118">
        <f>AVERAGE(Age[AgeSept2016])</f>
        <v>298.39682539682542</v>
      </c>
      <c r="P3" s="118">
        <f>AVERAGE(Age[AgeOct2016])</f>
        <v>306.27941176470586</v>
      </c>
      <c r="Q3" s="118">
        <f>AVERAGE(Age[AgeNov2016])</f>
        <v>312.05797101449275</v>
      </c>
      <c r="R3" s="118">
        <f>AVERAGE(Age[AgeDec2016])</f>
        <v>297.41428571428571</v>
      </c>
      <c r="S3" s="118">
        <f>AVERAGE(Age[AgeJan2017])</f>
        <v>311.28985507246375</v>
      </c>
      <c r="T3" s="118">
        <f ca="1">AVERAGE(Age[AgeFeb2017])</f>
        <v>337.29411764705884</v>
      </c>
      <c r="U3" s="150"/>
      <c r="V3" s="119"/>
      <c r="W3" s="119"/>
      <c r="X3" s="119"/>
      <c r="Y3" s="119"/>
      <c r="Z3" s="119"/>
      <c r="AA3" s="119"/>
      <c r="AB3" s="119"/>
      <c r="AC3" s="119"/>
    </row>
    <row r="4" spans="1:41" ht="15" thickBot="1" x14ac:dyDescent="0.35">
      <c r="A4" s="190" t="s">
        <v>264</v>
      </c>
      <c r="B4" s="191"/>
      <c r="C4" s="191"/>
      <c r="D4" s="191"/>
      <c r="E4" s="191"/>
      <c r="F4" s="192"/>
      <c r="G4" s="118"/>
      <c r="H4" s="118"/>
      <c r="I4" s="118"/>
      <c r="J4" s="118"/>
      <c r="K4" s="118"/>
      <c r="L4" s="118"/>
      <c r="M4" s="118"/>
      <c r="N4" s="118"/>
      <c r="O4" s="118"/>
      <c r="P4" s="118"/>
      <c r="Q4" s="118"/>
      <c r="R4" s="138"/>
      <c r="S4" s="138"/>
      <c r="T4" s="138"/>
      <c r="U4" s="150"/>
      <c r="V4" s="119"/>
      <c r="W4" s="119"/>
      <c r="X4" s="119"/>
      <c r="Y4" s="119"/>
      <c r="Z4" s="119"/>
      <c r="AA4" s="119"/>
      <c r="AB4" s="119"/>
      <c r="AC4" s="119"/>
    </row>
    <row r="5" spans="1:41" s="44" customFormat="1" x14ac:dyDescent="0.3">
      <c r="A5" s="72"/>
      <c r="B5" s="80" t="s">
        <v>190</v>
      </c>
      <c r="C5" s="80" t="s">
        <v>251</v>
      </c>
      <c r="D5" s="80" t="s">
        <v>252</v>
      </c>
      <c r="E5" s="90" t="s">
        <v>154</v>
      </c>
      <c r="F5" s="73"/>
      <c r="G5" s="149"/>
      <c r="H5" s="149"/>
      <c r="I5" s="149"/>
      <c r="J5" s="149"/>
      <c r="K5" s="149"/>
      <c r="L5" s="149"/>
      <c r="M5" s="149"/>
      <c r="N5" s="149"/>
      <c r="O5" s="149"/>
      <c r="P5" s="149"/>
      <c r="Q5" s="149"/>
      <c r="R5" s="150"/>
      <c r="S5" s="166"/>
      <c r="T5" s="166"/>
      <c r="U5" s="166"/>
      <c r="V5" s="43"/>
      <c r="W5" s="43"/>
      <c r="X5" s="43"/>
      <c r="Y5" s="43"/>
      <c r="Z5" s="43"/>
      <c r="AA5" s="43"/>
      <c r="AB5" s="43"/>
      <c r="AC5" s="43"/>
    </row>
    <row r="6" spans="1:41" ht="15.6" x14ac:dyDescent="0.3">
      <c r="A6" s="105" t="s">
        <v>216</v>
      </c>
      <c r="B6" s="83">
        <f>COUNTIF(Age[Color Code(To be Hide)], "Green")</f>
        <v>23</v>
      </c>
      <c r="C6" s="80">
        <f>COUNTIFS(Age[Color Code(To be Hide)], "Green", Age[App], "cA")</f>
        <v>7</v>
      </c>
      <c r="D6" s="80">
        <f>COUNTIFS(Age[Color Code(To be Hide)], "Green", Age[App], "RC")</f>
        <v>2</v>
      </c>
      <c r="E6" s="80">
        <f>COUNTIFS(Age[Color Code(To be Hide)], "Green", Age[App], "Both")</f>
        <v>0</v>
      </c>
      <c r="F6" s="69"/>
      <c r="G6" s="151"/>
      <c r="H6" s="151"/>
      <c r="I6" s="151"/>
      <c r="J6" s="151"/>
      <c r="K6" s="151"/>
      <c r="L6" s="151"/>
      <c r="M6" s="151"/>
      <c r="N6" s="151"/>
      <c r="O6" s="151"/>
      <c r="P6" s="151"/>
      <c r="Q6" s="151"/>
      <c r="R6" s="150"/>
      <c r="S6" s="150"/>
      <c r="T6" s="150"/>
      <c r="U6" s="150"/>
      <c r="V6" s="119"/>
      <c r="W6" s="119"/>
      <c r="X6" s="119"/>
      <c r="Y6" s="119"/>
      <c r="Z6" s="119"/>
      <c r="AA6" s="119"/>
      <c r="AB6" s="119"/>
      <c r="AC6" s="119"/>
    </row>
    <row r="7" spans="1:41" ht="16.2" thickBot="1" x14ac:dyDescent="0.35">
      <c r="A7" s="105" t="s">
        <v>253</v>
      </c>
      <c r="B7" s="83">
        <f>COUNTIF(Age[Color Code(To be Hide)], "Orange")</f>
        <v>7</v>
      </c>
      <c r="C7" s="80">
        <f>COUNTIFS(Age[Color Code(To be Hide)], "Orange", Age[App], "cA")</f>
        <v>3</v>
      </c>
      <c r="D7" s="80">
        <f>COUNTIFS(Age[Color Code(To be Hide)], "Orange", Age[App], "RC")</f>
        <v>1</v>
      </c>
      <c r="E7" s="81">
        <f>COUNTIFS(Age[Color Code(To be Hide)], "Orange", Age[App], "Both")</f>
        <v>0</v>
      </c>
      <c r="F7" s="69"/>
      <c r="G7" s="150"/>
      <c r="H7" s="150"/>
      <c r="I7" s="150"/>
      <c r="J7" s="150"/>
      <c r="K7" s="150"/>
      <c r="L7" s="150"/>
      <c r="M7" s="150"/>
      <c r="N7" s="150"/>
      <c r="O7" s="150"/>
      <c r="P7" s="150"/>
      <c r="Q7" s="150"/>
      <c r="R7" s="150"/>
      <c r="S7" s="119"/>
      <c r="T7" s="119"/>
      <c r="U7" s="119"/>
      <c r="V7" s="119"/>
      <c r="W7" s="119"/>
      <c r="X7" s="119"/>
      <c r="Y7" s="119"/>
      <c r="Z7" s="119"/>
      <c r="AA7" s="119"/>
      <c r="AB7" s="119"/>
      <c r="AC7" s="119"/>
    </row>
    <row r="8" spans="1:41" ht="15" thickBot="1" x14ac:dyDescent="0.35">
      <c r="A8" s="190" t="s">
        <v>266</v>
      </c>
      <c r="B8" s="191"/>
      <c r="C8" s="191"/>
      <c r="D8" s="191"/>
      <c r="E8" s="191"/>
      <c r="F8" s="192"/>
      <c r="G8" s="150"/>
      <c r="H8" s="150"/>
      <c r="I8" s="150"/>
      <c r="J8" s="150"/>
      <c r="K8" s="150"/>
      <c r="L8" s="150"/>
      <c r="M8" s="150"/>
      <c r="N8" s="150"/>
      <c r="O8" s="150"/>
      <c r="P8" s="150"/>
      <c r="Q8" s="150"/>
      <c r="R8" s="150"/>
    </row>
    <row r="9" spans="1:41" x14ac:dyDescent="0.3">
      <c r="A9" s="68" t="s">
        <v>261</v>
      </c>
      <c r="B9" s="80">
        <f>SUM(B10:B12)</f>
        <v>96</v>
      </c>
      <c r="C9" s="74">
        <f t="shared" ref="C9:E9" si="0">SUM(C10:C12)</f>
        <v>44</v>
      </c>
      <c r="D9" s="74">
        <f t="shared" si="0"/>
        <v>44</v>
      </c>
      <c r="E9" s="91">
        <f t="shared" si="0"/>
        <v>0</v>
      </c>
      <c r="F9" s="69" t="s">
        <v>247</v>
      </c>
      <c r="G9" s="150"/>
      <c r="H9" s="150"/>
      <c r="I9" s="150"/>
      <c r="J9" s="150"/>
      <c r="K9" s="150"/>
      <c r="L9" s="150"/>
      <c r="M9" s="150"/>
      <c r="N9" s="150"/>
      <c r="O9" s="150"/>
      <c r="P9" s="150"/>
      <c r="Q9" s="150"/>
      <c r="R9" s="150"/>
    </row>
    <row r="10" spans="1:41" x14ac:dyDescent="0.3">
      <c r="A10" s="84" t="s">
        <v>260</v>
      </c>
      <c r="B10" s="85">
        <f>COUNTIF(Age[Closed?], "Open")</f>
        <v>66</v>
      </c>
      <c r="C10" s="74">
        <f>COUNTIF(Table1[App], "cA")</f>
        <v>37</v>
      </c>
      <c r="D10" s="74">
        <f>COUNTIF(Table1[App], "RC")</f>
        <v>27</v>
      </c>
      <c r="E10" s="92">
        <f>COUNTIF(Table1[App], "Both")</f>
        <v>0</v>
      </c>
      <c r="F10" s="71">
        <f>B10/$B$9</f>
        <v>0.6875</v>
      </c>
      <c r="G10" s="150"/>
      <c r="H10" s="150"/>
      <c r="I10" s="150"/>
      <c r="J10" s="150"/>
      <c r="K10" s="150"/>
      <c r="L10" s="150"/>
      <c r="M10" s="150"/>
      <c r="N10" s="150"/>
      <c r="O10" s="150"/>
      <c r="P10" s="150"/>
      <c r="Q10" s="150"/>
      <c r="R10" s="150"/>
    </row>
    <row r="11" spans="1:41" x14ac:dyDescent="0.3">
      <c r="A11" s="84" t="s">
        <v>262</v>
      </c>
      <c r="B11" s="85">
        <f>COUNTIF(Age[Closed?], "Delivered")</f>
        <v>21</v>
      </c>
      <c r="C11" s="74">
        <f>COUNTIFS(Age[Closed?], "Delivered", Age[App], "cA")</f>
        <v>6</v>
      </c>
      <c r="D11" s="74">
        <f>COUNTIFS(Age[Closed?], "Delivered", Age[App], "RC")</f>
        <v>14</v>
      </c>
      <c r="E11" s="92">
        <f>COUNTIFS(Age[Closed?], "Delivered", Age[App], "Both")</f>
        <v>0</v>
      </c>
      <c r="F11" s="71">
        <f t="shared" ref="F11:F12" si="1">B11/$B$9</f>
        <v>0.21875</v>
      </c>
    </row>
    <row r="12" spans="1:41" ht="15" thickBot="1" x14ac:dyDescent="0.35">
      <c r="A12" s="93" t="s">
        <v>223</v>
      </c>
      <c r="B12" s="94">
        <f>COUNTIF(Age[Closed?], "Closed")</f>
        <v>9</v>
      </c>
      <c r="C12" s="95">
        <f>COUNTIFS(Age[Closed?], "Closed", Age[App], "cA")</f>
        <v>1</v>
      </c>
      <c r="D12" s="95">
        <f>COUNTIFS(Age[Closed?], "Closed", Age[App], "RC")</f>
        <v>3</v>
      </c>
      <c r="E12" s="96">
        <f>COUNTIFS(Age[Closed?], "Delivered", Age[App], "Both")</f>
        <v>0</v>
      </c>
      <c r="F12" s="97">
        <f t="shared" si="1"/>
        <v>9.375E-2</v>
      </c>
    </row>
    <row r="13" spans="1:41" ht="15" hidden="1" thickTop="1" x14ac:dyDescent="0.3">
      <c r="A13" s="89" t="s">
        <v>267</v>
      </c>
      <c r="B13" s="80">
        <f>COUNTIF(Age[Color Code(To be Hide)], "Yellow")</f>
        <v>0</v>
      </c>
      <c r="C13" s="74">
        <f>COUNTIFS(Age[Color Code(To be Hide)], "Yellow", Age[App], "cA")</f>
        <v>0</v>
      </c>
      <c r="D13" s="74">
        <f>COUNTIFS(Age[Color Code(To be Hide)], "Yellow", Age[App], "RC")</f>
        <v>0</v>
      </c>
      <c r="E13" s="92">
        <f>COUNTIFS(Age[Color Code(To be Hide)], "Yellow", Age[App], "Both")</f>
        <v>0</v>
      </c>
      <c r="F13" s="69"/>
    </row>
    <row r="14" spans="1:41" ht="15" hidden="1" thickBot="1" x14ac:dyDescent="0.35">
      <c r="A14" s="68" t="s">
        <v>250</v>
      </c>
      <c r="B14" s="80">
        <f>COUNTBLANK(Age[Date Opened])</f>
        <v>2</v>
      </c>
      <c r="C14" s="74"/>
      <c r="D14" s="74"/>
      <c r="E14" s="92"/>
      <c r="F14" s="69"/>
    </row>
    <row r="15" spans="1:41" ht="15.6" thickTop="1" thickBot="1" x14ac:dyDescent="0.35">
      <c r="A15" s="193" t="s">
        <v>263</v>
      </c>
      <c r="B15" s="194"/>
      <c r="C15" s="194"/>
      <c r="D15" s="194"/>
      <c r="E15" s="194"/>
      <c r="F15" s="195"/>
    </row>
    <row r="16" spans="1:41" x14ac:dyDescent="0.3">
      <c r="A16" s="68" t="s">
        <v>292</v>
      </c>
      <c r="B16" s="98">
        <f ca="1">COUNTIF(Table1[Age (days)], "&gt;120")</f>
        <v>48</v>
      </c>
      <c r="C16" s="74"/>
      <c r="D16" s="74"/>
      <c r="E16" s="74"/>
      <c r="F16" s="69"/>
    </row>
    <row r="17" spans="1:6" hidden="1" x14ac:dyDescent="0.3">
      <c r="A17" s="84" t="s">
        <v>268</v>
      </c>
      <c r="B17" s="99">
        <f ca="1">AVERAGEIF(Table1[Age (days)], "&lt;&gt;#N/A")</f>
        <v>329.40322580645159</v>
      </c>
      <c r="C17" s="74"/>
      <c r="D17" s="74"/>
      <c r="E17" s="74"/>
      <c r="F17" s="69"/>
    </row>
    <row r="18" spans="1:6" ht="15" thickBot="1" x14ac:dyDescent="0.35">
      <c r="A18" s="68" t="s">
        <v>269</v>
      </c>
      <c r="B18" s="100">
        <f ca="1">AVERAGEIF(Age[Closed?], "Delivered", Age[Age])</f>
        <v>233.10526315789474</v>
      </c>
      <c r="C18" s="74"/>
      <c r="D18" s="74"/>
      <c r="E18" s="74"/>
      <c r="F18" s="69"/>
    </row>
    <row r="19" spans="1:6" ht="15" thickBot="1" x14ac:dyDescent="0.35">
      <c r="A19" s="190" t="s">
        <v>265</v>
      </c>
      <c r="B19" s="191"/>
      <c r="C19" s="191"/>
      <c r="D19" s="191"/>
      <c r="E19" s="191"/>
      <c r="F19" s="192"/>
    </row>
    <row r="20" spans="1:6" x14ac:dyDescent="0.3">
      <c r="A20" s="82" t="s">
        <v>246</v>
      </c>
      <c r="B20" s="80">
        <f>COUNTIF(Table1[Impacting Business Unit], "Choice Privilege")</f>
        <v>2</v>
      </c>
      <c r="C20" s="74"/>
      <c r="D20" s="74"/>
      <c r="E20" s="74"/>
      <c r="F20" s="87"/>
    </row>
    <row r="21" spans="1:6" ht="15.6" x14ac:dyDescent="0.3">
      <c r="A21" s="78" t="s">
        <v>258</v>
      </c>
      <c r="B21" s="80">
        <f>COUNTIF(Table1[Impacting Business Unit], "International")</f>
        <v>14</v>
      </c>
      <c r="C21" s="74"/>
      <c r="D21" s="86"/>
      <c r="E21" s="74"/>
      <c r="F21" s="87"/>
    </row>
    <row r="22" spans="1:6" ht="15" thickBot="1" x14ac:dyDescent="0.35">
      <c r="A22" s="79" t="s">
        <v>255</v>
      </c>
      <c r="B22" s="81">
        <f>COUNTIF(Table1[Impacting Business Unit], "Revenue Management")</f>
        <v>25</v>
      </c>
      <c r="C22" s="76"/>
      <c r="D22" s="76"/>
      <c r="E22" s="76"/>
      <c r="F22" s="88"/>
    </row>
  </sheetData>
  <mergeCells count="5">
    <mergeCell ref="A8:F8"/>
    <mergeCell ref="A15:F15"/>
    <mergeCell ref="A4:F4"/>
    <mergeCell ref="A19:F19"/>
    <mergeCell ref="G1:Q1"/>
  </mergeCells>
  <pageMargins left="0.25" right="0.25" top="0.75" bottom="0.75" header="0.3" footer="0.3"/>
  <pageSetup fitToHeight="0"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S75"/>
  <sheetViews>
    <sheetView topLeftCell="A55" zoomScale="70" zoomScaleNormal="70" workbookViewId="0">
      <selection activeCell="P56" sqref="P56"/>
    </sheetView>
  </sheetViews>
  <sheetFormatPr defaultColWidth="10.21875" defaultRowHeight="15.6" x14ac:dyDescent="0.3"/>
  <cols>
    <col min="1" max="1" width="5.21875" style="1" customWidth="1"/>
    <col min="2" max="2" width="7.6640625" customWidth="1"/>
    <col min="3" max="3" width="7.44140625" style="1" bestFit="1" customWidth="1"/>
    <col min="4" max="4" width="48.6640625" style="1" customWidth="1"/>
    <col min="5" max="5" width="31.109375" style="1" customWidth="1"/>
    <col min="6" max="6" width="8.33203125" style="1" customWidth="1"/>
    <col min="7" max="7" width="11.33203125" style="1" hidden="1" customWidth="1"/>
    <col min="8" max="8" width="14" style="1" bestFit="1" customWidth="1"/>
    <col min="9" max="11" width="12.44140625" style="1" customWidth="1"/>
    <col min="12" max="12" width="10" style="1" customWidth="1"/>
    <col min="13" max="13" width="8.6640625" customWidth="1"/>
    <col min="14" max="14" width="12.21875" bestFit="1" customWidth="1"/>
    <col min="15" max="15" width="13.109375" bestFit="1" customWidth="1"/>
    <col min="16" max="16" width="14.88671875" style="1" bestFit="1" customWidth="1"/>
    <col min="17" max="17" width="15.88671875" style="1" bestFit="1" customWidth="1"/>
    <col min="18" max="18" width="14.88671875" style="1" bestFit="1" customWidth="1"/>
    <col min="19" max="19" width="18.44140625" style="1" bestFit="1" customWidth="1"/>
    <col min="20" max="16384" width="10.21875" style="1"/>
  </cols>
  <sheetData>
    <row r="1" spans="1:19" ht="18" x14ac:dyDescent="0.35">
      <c r="A1" s="198" t="s">
        <v>96</v>
      </c>
      <c r="B1" s="198"/>
      <c r="C1" s="198"/>
      <c r="D1" s="198"/>
      <c r="E1" s="198"/>
      <c r="F1" s="113"/>
      <c r="M1" s="1"/>
      <c r="N1" s="1"/>
      <c r="P1" s="3"/>
    </row>
    <row r="2" spans="1:19" x14ac:dyDescent="0.3">
      <c r="A2" s="199" t="s">
        <v>98</v>
      </c>
      <c r="B2" s="199"/>
      <c r="C2" s="199"/>
      <c r="D2" s="199"/>
      <c r="E2" s="199"/>
      <c r="F2" s="199"/>
      <c r="G2" s="14"/>
      <c r="H2" s="14"/>
      <c r="I2" s="14"/>
      <c r="J2" s="14"/>
      <c r="K2" s="14"/>
      <c r="L2" s="14"/>
      <c r="M2" s="14"/>
      <c r="N2" s="14"/>
      <c r="O2" s="14"/>
      <c r="P2" s="14"/>
    </row>
    <row r="3" spans="1:19" x14ac:dyDescent="0.3">
      <c r="A3" s="200" t="s">
        <v>95</v>
      </c>
      <c r="B3" s="200"/>
      <c r="C3" s="200"/>
      <c r="D3" s="200"/>
      <c r="E3" s="200"/>
      <c r="F3" s="200"/>
      <c r="M3" s="1"/>
      <c r="N3" s="1"/>
      <c r="O3" s="1"/>
    </row>
    <row r="4" spans="1:19" x14ac:dyDescent="0.3">
      <c r="A4" s="201" t="s">
        <v>259</v>
      </c>
      <c r="B4" s="201"/>
      <c r="C4" s="201"/>
      <c r="D4" s="201"/>
      <c r="E4" s="201"/>
      <c r="F4" s="201"/>
      <c r="M4" s="1"/>
      <c r="N4" s="1"/>
      <c r="O4" s="1"/>
    </row>
    <row r="5" spans="1:19" s="14" customFormat="1" x14ac:dyDescent="0.3">
      <c r="A5" s="16"/>
    </row>
    <row r="6" spans="1:19" ht="61.2" customHeight="1" x14ac:dyDescent="0.3">
      <c r="A6" s="2" t="s">
        <v>46</v>
      </c>
      <c r="B6" s="2" t="s">
        <v>47</v>
      </c>
      <c r="C6" s="2" t="s">
        <v>20</v>
      </c>
      <c r="D6" s="2" t="s">
        <v>0</v>
      </c>
      <c r="E6" s="2" t="s">
        <v>19</v>
      </c>
      <c r="F6" s="46" t="s">
        <v>21</v>
      </c>
      <c r="G6" s="46" t="s">
        <v>13</v>
      </c>
      <c r="H6" s="46" t="s">
        <v>194</v>
      </c>
      <c r="I6" s="46" t="s">
        <v>184</v>
      </c>
      <c r="J6" s="46" t="s">
        <v>185</v>
      </c>
      <c r="K6" s="46" t="s">
        <v>186</v>
      </c>
      <c r="L6" s="46" t="s">
        <v>349</v>
      </c>
      <c r="M6" s="46" t="s">
        <v>198</v>
      </c>
      <c r="N6" s="55" t="s">
        <v>174</v>
      </c>
      <c r="O6" s="2" t="s">
        <v>57</v>
      </c>
      <c r="P6" s="2" t="s">
        <v>10</v>
      </c>
      <c r="Q6" s="2" t="s">
        <v>257</v>
      </c>
      <c r="R6" s="2" t="s">
        <v>49</v>
      </c>
      <c r="S6" s="2" t="s">
        <v>48</v>
      </c>
    </row>
    <row r="7" spans="1:19" ht="31.2" x14ac:dyDescent="0.3">
      <c r="A7" s="18"/>
      <c r="B7" s="17" t="s">
        <v>31</v>
      </c>
      <c r="C7" s="17" t="s">
        <v>2</v>
      </c>
      <c r="D7" s="5" t="s">
        <v>32</v>
      </c>
      <c r="E7" s="5" t="s">
        <v>33</v>
      </c>
      <c r="F7" s="5" t="s">
        <v>201</v>
      </c>
      <c r="G7" s="5" t="s">
        <v>14</v>
      </c>
      <c r="H7" s="117"/>
      <c r="I7" s="117"/>
      <c r="J7" s="117"/>
      <c r="K7" s="117"/>
      <c r="L7" s="117"/>
      <c r="M7" s="117"/>
      <c r="N7" s="5"/>
      <c r="O7" s="6">
        <f ca="1">TODAY() - VLOOKUP(B7,'Age Data (Hidden)'!$A:$C,3,FALSE)</f>
        <v>341</v>
      </c>
      <c r="P7" s="5" t="s">
        <v>331</v>
      </c>
      <c r="Q7" s="5" t="s">
        <v>256</v>
      </c>
      <c r="R7" s="5" t="s">
        <v>53</v>
      </c>
      <c r="S7" s="5" t="s">
        <v>34</v>
      </c>
    </row>
    <row r="8" spans="1:19" ht="31.2" x14ac:dyDescent="0.3">
      <c r="A8" s="123"/>
      <c r="B8" s="39" t="s">
        <v>119</v>
      </c>
      <c r="C8" s="39" t="s">
        <v>2</v>
      </c>
      <c r="D8" s="32" t="s">
        <v>120</v>
      </c>
      <c r="E8" s="32"/>
      <c r="F8" s="32" t="s">
        <v>6</v>
      </c>
      <c r="G8" s="32"/>
      <c r="H8" s="5"/>
      <c r="I8" s="32"/>
      <c r="J8" s="32"/>
      <c r="K8" s="32"/>
      <c r="L8" s="32"/>
      <c r="M8" s="32"/>
      <c r="N8" s="32"/>
      <c r="O8" s="6">
        <f ca="1">TODAY() - VLOOKUP(B8,'Age Data (Hidden)'!$A:$C,3,FALSE)</f>
        <v>296</v>
      </c>
      <c r="P8" s="5" t="s">
        <v>331</v>
      </c>
      <c r="Q8" s="5" t="s">
        <v>255</v>
      </c>
      <c r="R8" s="5"/>
      <c r="S8" s="5"/>
    </row>
    <row r="9" spans="1:19" ht="62.4" x14ac:dyDescent="0.3">
      <c r="A9" s="123"/>
      <c r="B9" s="39" t="s">
        <v>39</v>
      </c>
      <c r="C9" s="124" t="s">
        <v>2</v>
      </c>
      <c r="D9" s="28" t="s">
        <v>148</v>
      </c>
      <c r="E9" s="32" t="s">
        <v>151</v>
      </c>
      <c r="F9" s="28" t="s">
        <v>201</v>
      </c>
      <c r="G9" s="32" t="s">
        <v>14</v>
      </c>
      <c r="H9" s="5"/>
      <c r="I9" s="32"/>
      <c r="J9" s="32"/>
      <c r="K9" s="32"/>
      <c r="L9" s="32"/>
      <c r="M9" s="32"/>
      <c r="N9" s="32"/>
      <c r="O9" s="25">
        <f ca="1">TODAY() - VLOOKUP(B9,'Age Data (Hidden)'!$A:$C,3,FALSE)</f>
        <v>416</v>
      </c>
      <c r="P9" s="5" t="s">
        <v>331</v>
      </c>
      <c r="Q9" s="5" t="s">
        <v>30</v>
      </c>
      <c r="R9" s="5" t="s">
        <v>30</v>
      </c>
      <c r="S9" s="24"/>
    </row>
    <row r="10" spans="1:19" ht="31.2" x14ac:dyDescent="0.3">
      <c r="A10" s="142"/>
      <c r="B10" s="143" t="s">
        <v>105</v>
      </c>
      <c r="C10" s="143" t="s">
        <v>2</v>
      </c>
      <c r="D10" s="5" t="s">
        <v>104</v>
      </c>
      <c r="E10" s="5" t="s">
        <v>106</v>
      </c>
      <c r="F10" s="5" t="s">
        <v>6</v>
      </c>
      <c r="G10" s="5" t="s">
        <v>14</v>
      </c>
      <c r="H10" s="5"/>
      <c r="I10" s="5"/>
      <c r="J10" s="5"/>
      <c r="K10" s="5"/>
      <c r="L10" s="5"/>
      <c r="M10" s="5"/>
      <c r="N10" s="5"/>
      <c r="O10" s="6">
        <f ca="1">TODAY() - VLOOKUP(B10,'Age Data (Hidden)'!$A:$C,3,FALSE)</f>
        <v>239</v>
      </c>
      <c r="P10" s="5" t="s">
        <v>331</v>
      </c>
      <c r="Q10" s="5" t="s">
        <v>30</v>
      </c>
      <c r="R10" s="5" t="s">
        <v>30</v>
      </c>
      <c r="S10" s="5" t="s">
        <v>28</v>
      </c>
    </row>
    <row r="11" spans="1:19" ht="46.8" x14ac:dyDescent="0.3">
      <c r="A11" s="152"/>
      <c r="B11" s="152" t="s">
        <v>321</v>
      </c>
      <c r="C11" s="152" t="s">
        <v>2</v>
      </c>
      <c r="D11" s="5" t="s">
        <v>322</v>
      </c>
      <c r="E11" s="5" t="s">
        <v>323</v>
      </c>
      <c r="F11" s="5" t="s">
        <v>6</v>
      </c>
      <c r="G11" s="5"/>
      <c r="H11" s="5" t="s">
        <v>179</v>
      </c>
      <c r="I11" s="5" t="s">
        <v>181</v>
      </c>
      <c r="J11" s="5" t="s">
        <v>6</v>
      </c>
      <c r="K11" s="5" t="s">
        <v>181</v>
      </c>
      <c r="L11" s="5" t="s">
        <v>201</v>
      </c>
      <c r="M11" s="5" t="s">
        <v>201</v>
      </c>
      <c r="N11" s="5" t="str">
        <f>VLOOKUP(Table1[ST Jira HOS'#], Calc[], 10, FALSE)</f>
        <v>Low</v>
      </c>
      <c r="O11" s="6">
        <f ca="1">TODAY() - VLOOKUP(B11,'Age Data (Hidden)'!$A:$C,3,FALSE)</f>
        <v>889</v>
      </c>
      <c r="P11" s="5" t="s">
        <v>331</v>
      </c>
      <c r="Q11" s="5" t="s">
        <v>256</v>
      </c>
      <c r="R11" s="5" t="s">
        <v>54</v>
      </c>
      <c r="S11" s="5" t="s">
        <v>157</v>
      </c>
    </row>
    <row r="12" spans="1:19" ht="62.4" customHeight="1" x14ac:dyDescent="0.3">
      <c r="A12" s="153"/>
      <c r="B12" s="154" t="s">
        <v>70</v>
      </c>
      <c r="C12" s="154" t="s">
        <v>2</v>
      </c>
      <c r="D12" s="32" t="s">
        <v>79</v>
      </c>
      <c r="E12" s="33" t="s">
        <v>81</v>
      </c>
      <c r="F12" s="33" t="s">
        <v>201</v>
      </c>
      <c r="G12" s="33" t="s">
        <v>14</v>
      </c>
      <c r="H12" s="5"/>
      <c r="I12" s="9"/>
      <c r="J12" s="9"/>
      <c r="K12" s="9"/>
      <c r="L12" s="9"/>
      <c r="M12" s="5"/>
      <c r="N12" s="9"/>
      <c r="O12" s="10">
        <f ca="1">TODAY() - VLOOKUP(B12,'Age Data (Hidden)'!$A:$C,3,FALSE)</f>
        <v>310</v>
      </c>
      <c r="P12" s="5" t="s">
        <v>331</v>
      </c>
      <c r="Q12" s="5" t="s">
        <v>256</v>
      </c>
      <c r="R12" s="11" t="s">
        <v>54</v>
      </c>
      <c r="S12" s="9" t="s">
        <v>80</v>
      </c>
    </row>
    <row r="13" spans="1:19" ht="31.2" x14ac:dyDescent="0.3">
      <c r="A13" s="158"/>
      <c r="B13" s="17" t="s">
        <v>361</v>
      </c>
      <c r="C13" s="158" t="s">
        <v>2</v>
      </c>
      <c r="D13" s="5" t="s">
        <v>362</v>
      </c>
      <c r="E13" s="156"/>
      <c r="F13" s="156"/>
      <c r="G13" s="156"/>
      <c r="H13" s="156"/>
      <c r="I13" s="156"/>
      <c r="J13" s="156"/>
      <c r="K13" s="156"/>
      <c r="L13" s="156"/>
      <c r="M13" s="156"/>
      <c r="N13" s="156" t="str">
        <f>VLOOKUP(Table1[ST Jira HOS'#], Calc[], 10, FALSE)</f>
        <v>Very Low</v>
      </c>
      <c r="O13" s="157">
        <f ca="1">TODAY() - VLOOKUP(B13,'Age Data (Hidden)'!$A:$C,3,FALSE)</f>
        <v>146</v>
      </c>
      <c r="P13" s="5" t="s">
        <v>331</v>
      </c>
      <c r="Q13" s="156"/>
      <c r="R13" s="156"/>
      <c r="S13" s="156"/>
    </row>
    <row r="14" spans="1:19" ht="31.2" x14ac:dyDescent="0.3">
      <c r="A14" s="13"/>
      <c r="B14" s="35" t="s">
        <v>324</v>
      </c>
      <c r="C14" s="35" t="s">
        <v>2</v>
      </c>
      <c r="D14" s="32" t="s">
        <v>325</v>
      </c>
      <c r="E14" s="32" t="s">
        <v>328</v>
      </c>
      <c r="F14" s="32" t="s">
        <v>201</v>
      </c>
      <c r="G14" s="32"/>
      <c r="H14" s="5" t="s">
        <v>179</v>
      </c>
      <c r="I14" s="5" t="s">
        <v>181</v>
      </c>
      <c r="J14" s="5" t="s">
        <v>6</v>
      </c>
      <c r="K14" s="5" t="s">
        <v>180</v>
      </c>
      <c r="L14" s="5" t="s">
        <v>201</v>
      </c>
      <c r="M14" s="5" t="s">
        <v>201</v>
      </c>
      <c r="N14" s="5" t="str">
        <f>VLOOKUP(Table1[ST Jira HOS'#], Calc[], 10, FALSE)</f>
        <v>High</v>
      </c>
      <c r="O14" s="6">
        <f ca="1">TODAY() - VLOOKUP(B14,'Age Data (Hidden)'!$A:$C,3,FALSE)</f>
        <v>494</v>
      </c>
      <c r="P14" s="5" t="s">
        <v>122</v>
      </c>
      <c r="Q14" s="5" t="s">
        <v>30</v>
      </c>
      <c r="R14" s="5" t="s">
        <v>54</v>
      </c>
      <c r="S14" s="5" t="s">
        <v>40</v>
      </c>
    </row>
    <row r="15" spans="1:19" ht="46.8" x14ac:dyDescent="0.3">
      <c r="A15" s="26"/>
      <c r="B15" s="35" t="s">
        <v>75</v>
      </c>
      <c r="C15" s="35" t="s">
        <v>2</v>
      </c>
      <c r="D15" s="32" t="s">
        <v>302</v>
      </c>
      <c r="E15" s="32" t="s">
        <v>62</v>
      </c>
      <c r="F15" s="32" t="s">
        <v>201</v>
      </c>
      <c r="G15" s="32" t="s">
        <v>14</v>
      </c>
      <c r="H15" s="117"/>
      <c r="I15" s="117"/>
      <c r="J15" s="117"/>
      <c r="K15" s="117"/>
      <c r="L15" s="117"/>
      <c r="M15" s="117"/>
      <c r="N15" s="5"/>
      <c r="O15" s="7">
        <f ca="1">TODAY() - VLOOKUP(B15,'Age Data (Hidden)'!$A:$C,3,FALSE)</f>
        <v>308</v>
      </c>
      <c r="P15" s="5" t="s">
        <v>91</v>
      </c>
      <c r="Q15" s="5" t="s">
        <v>30</v>
      </c>
      <c r="R15" s="5" t="s">
        <v>30</v>
      </c>
      <c r="S15" s="5" t="s">
        <v>40</v>
      </c>
    </row>
    <row r="16" spans="1:19" ht="62.4" x14ac:dyDescent="0.3">
      <c r="A16" s="13"/>
      <c r="B16" s="61" t="s">
        <v>82</v>
      </c>
      <c r="C16" s="61" t="s">
        <v>2</v>
      </c>
      <c r="D16" s="32" t="s">
        <v>85</v>
      </c>
      <c r="E16" s="33" t="s">
        <v>86</v>
      </c>
      <c r="F16" s="32" t="s">
        <v>6</v>
      </c>
      <c r="G16" s="33" t="s">
        <v>14</v>
      </c>
      <c r="H16" s="117"/>
      <c r="I16" s="117"/>
      <c r="J16" s="117"/>
      <c r="K16" s="117"/>
      <c r="L16" s="117"/>
      <c r="M16" s="117"/>
      <c r="N16" s="9"/>
      <c r="O16" s="10">
        <f ca="1">TODAY() - VLOOKUP(B16,'Age Data (Hidden)'!$A:$C,3,FALSE)</f>
        <v>302</v>
      </c>
      <c r="P16" s="5" t="s">
        <v>303</v>
      </c>
      <c r="Q16" s="5" t="s">
        <v>256</v>
      </c>
      <c r="R16" s="5" t="s">
        <v>54</v>
      </c>
      <c r="S16" s="5" t="s">
        <v>40</v>
      </c>
    </row>
    <row r="17" spans="1:19" ht="31.2" x14ac:dyDescent="0.3">
      <c r="A17" s="13"/>
      <c r="B17" s="61" t="s">
        <v>83</v>
      </c>
      <c r="C17" s="61" t="s">
        <v>2</v>
      </c>
      <c r="D17" s="33" t="s">
        <v>84</v>
      </c>
      <c r="E17" s="33" t="s">
        <v>86</v>
      </c>
      <c r="F17" s="32" t="s">
        <v>6</v>
      </c>
      <c r="G17" s="33" t="s">
        <v>14</v>
      </c>
      <c r="H17" s="117"/>
      <c r="I17" s="117"/>
      <c r="J17" s="117"/>
      <c r="K17" s="117"/>
      <c r="L17" s="117"/>
      <c r="M17" s="117"/>
      <c r="N17" s="9"/>
      <c r="O17" s="10">
        <f ca="1">TODAY() - VLOOKUP(B17,'Age Data (Hidden)'!$A:$C,3,FALSE)</f>
        <v>282</v>
      </c>
      <c r="P17" s="5" t="s">
        <v>303</v>
      </c>
      <c r="Q17" s="5" t="s">
        <v>256</v>
      </c>
      <c r="R17" s="5" t="s">
        <v>54</v>
      </c>
      <c r="S17" s="5" t="s">
        <v>40</v>
      </c>
    </row>
    <row r="18" spans="1:19" ht="31.2" x14ac:dyDescent="0.3">
      <c r="A18" s="26"/>
      <c r="B18" s="35" t="s">
        <v>68</v>
      </c>
      <c r="C18" s="35" t="s">
        <v>3</v>
      </c>
      <c r="D18" s="32" t="s">
        <v>44</v>
      </c>
      <c r="E18" s="32" t="s">
        <v>45</v>
      </c>
      <c r="F18" s="32" t="s">
        <v>201</v>
      </c>
      <c r="G18" s="32" t="s">
        <v>14</v>
      </c>
      <c r="H18" s="117"/>
      <c r="I18" s="117"/>
      <c r="J18" s="117"/>
      <c r="K18" s="117"/>
      <c r="L18" s="117"/>
      <c r="M18" s="117"/>
      <c r="N18" s="5"/>
      <c r="O18" s="6">
        <f ca="1">TODAY() - VLOOKUP(B18,'Age Data (Hidden)'!$A:$C,3,FALSE)</f>
        <v>311</v>
      </c>
      <c r="P18" s="5" t="s">
        <v>122</v>
      </c>
      <c r="Q18" s="5" t="s">
        <v>255</v>
      </c>
      <c r="R18" s="5" t="s">
        <v>55</v>
      </c>
      <c r="S18" s="5" t="s">
        <v>36</v>
      </c>
    </row>
    <row r="19" spans="1:19" ht="31.2" x14ac:dyDescent="0.3">
      <c r="A19" s="36"/>
      <c r="B19" s="37" t="s">
        <v>133</v>
      </c>
      <c r="C19" s="37" t="s">
        <v>3</v>
      </c>
      <c r="D19" s="32" t="s">
        <v>134</v>
      </c>
      <c r="E19" s="34" t="s">
        <v>135</v>
      </c>
      <c r="F19" s="34" t="s">
        <v>201</v>
      </c>
      <c r="G19" s="34" t="s">
        <v>14</v>
      </c>
      <c r="H19" s="5"/>
      <c r="I19" s="34"/>
      <c r="J19" s="34"/>
      <c r="K19" s="34"/>
      <c r="L19" s="34"/>
      <c r="M19" s="34"/>
      <c r="N19" s="34"/>
      <c r="O19" s="22">
        <f ca="1">TODAY() - VLOOKUP(B19,'Age Data (Hidden)'!$A:$C,3,FALSE)</f>
        <v>196</v>
      </c>
      <c r="P19" s="5" t="s">
        <v>91</v>
      </c>
      <c r="Q19" s="5" t="s">
        <v>256</v>
      </c>
      <c r="R19" s="21" t="s">
        <v>54</v>
      </c>
      <c r="S19" s="21" t="s">
        <v>34</v>
      </c>
    </row>
    <row r="20" spans="1:19" ht="62.4" x14ac:dyDescent="0.3">
      <c r="A20" s="36"/>
      <c r="B20" s="61" t="s">
        <v>89</v>
      </c>
      <c r="C20" s="61" t="s">
        <v>2</v>
      </c>
      <c r="D20" s="32" t="s">
        <v>301</v>
      </c>
      <c r="E20" s="33" t="s">
        <v>92</v>
      </c>
      <c r="F20" s="33" t="s">
        <v>201</v>
      </c>
      <c r="G20" s="33" t="s">
        <v>14</v>
      </c>
      <c r="H20" s="5"/>
      <c r="I20" s="9"/>
      <c r="J20" s="9"/>
      <c r="K20" s="9"/>
      <c r="L20" s="9"/>
      <c r="M20" s="5"/>
      <c r="N20" s="9"/>
      <c r="O20" s="10">
        <f ca="1">TODAY() - VLOOKUP(B20,'Age Data (Hidden)'!$A:$C,3,FALSE)</f>
        <v>889</v>
      </c>
      <c r="P20" s="5" t="s">
        <v>122</v>
      </c>
      <c r="Q20" s="5" t="s">
        <v>30</v>
      </c>
      <c r="R20" s="5" t="s">
        <v>30</v>
      </c>
      <c r="S20" s="5" t="s">
        <v>40</v>
      </c>
    </row>
    <row r="21" spans="1:19" ht="62.4" x14ac:dyDescent="0.3">
      <c r="A21" s="122"/>
      <c r="B21" s="122" t="s">
        <v>294</v>
      </c>
      <c r="C21" s="122" t="s">
        <v>2</v>
      </c>
      <c r="D21" s="5" t="s">
        <v>297</v>
      </c>
      <c r="E21" s="5" t="s">
        <v>295</v>
      </c>
      <c r="F21" s="120" t="s">
        <v>201</v>
      </c>
      <c r="G21" s="120"/>
      <c r="H21" s="120" t="s">
        <v>179</v>
      </c>
      <c r="I21" s="120" t="s">
        <v>180</v>
      </c>
      <c r="J21" s="120" t="s">
        <v>6</v>
      </c>
      <c r="K21" s="120" t="s">
        <v>182</v>
      </c>
      <c r="L21" s="120" t="s">
        <v>6</v>
      </c>
      <c r="M21" s="120" t="s">
        <v>201</v>
      </c>
      <c r="N21" s="120" t="str">
        <f>VLOOKUP(Table1[ST Jira HOS'#], Calc[], 10, FALSE)</f>
        <v>Critical</v>
      </c>
      <c r="O21" s="121">
        <f ca="1">TODAY() - VLOOKUP(B21,'Age Data (Hidden)'!$A:$C,3,FALSE)</f>
        <v>107</v>
      </c>
      <c r="P21" s="5" t="s">
        <v>303</v>
      </c>
      <c r="Q21" s="5" t="s">
        <v>255</v>
      </c>
      <c r="R21" s="5" t="s">
        <v>296</v>
      </c>
      <c r="S21" s="5" t="s">
        <v>157</v>
      </c>
    </row>
    <row r="22" spans="1:19" ht="109.2" x14ac:dyDescent="0.3">
      <c r="A22" s="122"/>
      <c r="B22" s="35" t="s">
        <v>153</v>
      </c>
      <c r="C22" s="35" t="s">
        <v>2</v>
      </c>
      <c r="D22" s="32" t="s">
        <v>155</v>
      </c>
      <c r="E22" s="32" t="s">
        <v>156</v>
      </c>
      <c r="F22" s="32" t="s">
        <v>201</v>
      </c>
      <c r="G22" s="32" t="s">
        <v>14</v>
      </c>
      <c r="H22" s="5" t="s">
        <v>179</v>
      </c>
      <c r="I22" s="5" t="s">
        <v>182</v>
      </c>
      <c r="J22" s="5" t="s">
        <v>6</v>
      </c>
      <c r="K22" s="5" t="s">
        <v>180</v>
      </c>
      <c r="L22" s="5" t="s">
        <v>201</v>
      </c>
      <c r="M22" s="5" t="s">
        <v>201</v>
      </c>
      <c r="N22" s="5" t="str">
        <f>VLOOKUP(Table1[ST Jira HOS'#], Calc[], 10, FALSE)</f>
        <v>High</v>
      </c>
      <c r="O22" s="6">
        <f ca="1">TODAY() - VLOOKUP(B22,'Age Data (Hidden)'!$A:$C,3,FALSE)</f>
        <v>596</v>
      </c>
      <c r="P22" s="5" t="s">
        <v>91</v>
      </c>
      <c r="Q22" s="5" t="s">
        <v>255</v>
      </c>
      <c r="R22" s="5" t="s">
        <v>100</v>
      </c>
      <c r="S22" s="5" t="s">
        <v>157</v>
      </c>
    </row>
    <row r="23" spans="1:19" ht="62.4" x14ac:dyDescent="0.3">
      <c r="A23" s="36"/>
      <c r="B23" s="35" t="s">
        <v>147</v>
      </c>
      <c r="C23" s="133" t="s">
        <v>2</v>
      </c>
      <c r="D23" s="32" t="s">
        <v>146</v>
      </c>
      <c r="E23" s="32" t="s">
        <v>299</v>
      </c>
      <c r="F23" s="32" t="s">
        <v>6</v>
      </c>
      <c r="G23" s="32" t="s">
        <v>14</v>
      </c>
      <c r="H23" s="5" t="s">
        <v>179</v>
      </c>
      <c r="I23" s="5" t="s">
        <v>181</v>
      </c>
      <c r="J23" s="5" t="s">
        <v>6</v>
      </c>
      <c r="K23" s="5" t="s">
        <v>180</v>
      </c>
      <c r="L23" s="5" t="s">
        <v>201</v>
      </c>
      <c r="M23" s="5" t="s">
        <v>201</v>
      </c>
      <c r="N23" s="5" t="str">
        <f>VLOOKUP(Table1[ST Jira HOS'#], Calc[], 10, FALSE)</f>
        <v>Low</v>
      </c>
      <c r="O23" s="25">
        <f ca="1">TODAY() - VLOOKUP(B23,'Age Data (Hidden)'!$A:$C,3,FALSE)</f>
        <v>191</v>
      </c>
      <c r="P23" s="5" t="s">
        <v>91</v>
      </c>
      <c r="Q23" s="5" t="s">
        <v>30</v>
      </c>
      <c r="R23" s="5" t="s">
        <v>30</v>
      </c>
      <c r="S23" s="5" t="s">
        <v>80</v>
      </c>
    </row>
    <row r="24" spans="1:19" ht="62.4" customHeight="1" x14ac:dyDescent="0.3">
      <c r="A24" s="36"/>
      <c r="B24" s="61" t="s">
        <v>112</v>
      </c>
      <c r="C24" s="61" t="s">
        <v>2</v>
      </c>
      <c r="D24" s="32" t="s">
        <v>298</v>
      </c>
      <c r="E24" s="32" t="s">
        <v>300</v>
      </c>
      <c r="F24" s="33" t="s">
        <v>201</v>
      </c>
      <c r="G24" s="33" t="s">
        <v>14</v>
      </c>
      <c r="H24" s="5" t="s">
        <v>179</v>
      </c>
      <c r="I24" s="33" t="s">
        <v>181</v>
      </c>
      <c r="J24" s="33" t="s">
        <v>6</v>
      </c>
      <c r="K24" s="33" t="s">
        <v>180</v>
      </c>
      <c r="L24" s="33" t="s">
        <v>201</v>
      </c>
      <c r="M24" s="5" t="s">
        <v>201</v>
      </c>
      <c r="N24" s="33" t="str">
        <f>VLOOKUP(Table1[ST Jira HOS'#], Calc[], 10, FALSE)</f>
        <v>High</v>
      </c>
      <c r="O24" s="10">
        <f ca="1">TODAY() - VLOOKUP(B24,'Age Data (Hidden)'!$A:$C,3,FALSE)</f>
        <v>889</v>
      </c>
      <c r="P24" s="5" t="s">
        <v>122</v>
      </c>
      <c r="Q24" s="5" t="s">
        <v>256</v>
      </c>
      <c r="R24" s="9" t="s">
        <v>54</v>
      </c>
      <c r="S24" s="9" t="s">
        <v>34</v>
      </c>
    </row>
    <row r="25" spans="1:19" ht="124.8" x14ac:dyDescent="0.3">
      <c r="A25" s="122"/>
      <c r="B25" s="13" t="s">
        <v>107</v>
      </c>
      <c r="C25" s="13" t="s">
        <v>3</v>
      </c>
      <c r="D25" s="5" t="s">
        <v>101</v>
      </c>
      <c r="E25" s="5" t="s">
        <v>102</v>
      </c>
      <c r="F25" s="5" t="s">
        <v>201</v>
      </c>
      <c r="G25" s="5" t="s">
        <v>15</v>
      </c>
      <c r="H25" s="5" t="s">
        <v>179</v>
      </c>
      <c r="I25" s="5" t="s">
        <v>180</v>
      </c>
      <c r="J25" s="5" t="s">
        <v>6</v>
      </c>
      <c r="K25" s="5" t="s">
        <v>181</v>
      </c>
      <c r="L25" s="5" t="s">
        <v>201</v>
      </c>
      <c r="M25" s="5" t="s">
        <v>201</v>
      </c>
      <c r="N25" s="5" t="str">
        <f>VLOOKUP(Table1[ST Jira HOS'#], Calc[], 10, FALSE)</f>
        <v>High</v>
      </c>
      <c r="O25" s="6">
        <f ca="1">TODAY() - VLOOKUP(B25,'Age Data (Hidden)'!$A:$C,3,FALSE)</f>
        <v>229</v>
      </c>
      <c r="P25" s="5" t="s">
        <v>303</v>
      </c>
      <c r="Q25" s="5" t="s">
        <v>255</v>
      </c>
      <c r="R25" s="5" t="s">
        <v>51</v>
      </c>
      <c r="S25" s="5" t="s">
        <v>36</v>
      </c>
    </row>
    <row r="26" spans="1:19" ht="62.4" x14ac:dyDescent="0.3">
      <c r="A26" s="122"/>
      <c r="B26" s="35" t="s">
        <v>167</v>
      </c>
      <c r="C26" s="140" t="s">
        <v>2</v>
      </c>
      <c r="D26" s="32" t="s">
        <v>168</v>
      </c>
      <c r="E26" s="32" t="s">
        <v>169</v>
      </c>
      <c r="F26" s="104" t="s">
        <v>201</v>
      </c>
      <c r="G26" s="32" t="s">
        <v>14</v>
      </c>
      <c r="H26" s="5" t="s">
        <v>179</v>
      </c>
      <c r="I26" s="5" t="s">
        <v>181</v>
      </c>
      <c r="J26" s="5" t="s">
        <v>6</v>
      </c>
      <c r="K26" s="5" t="s">
        <v>182</v>
      </c>
      <c r="L26" s="5" t="s">
        <v>201</v>
      </c>
      <c r="M26" s="5" t="s">
        <v>201</v>
      </c>
      <c r="N26" s="5" t="str">
        <f>VLOOKUP(Table1[ST Jira HOS'#], Calc[], 10, FALSE)</f>
        <v>Medium</v>
      </c>
      <c r="O26" s="41">
        <f ca="1">TODAY() - VLOOKUP(B26,'Age Data (Hidden)'!$A:$C,3,FALSE)</f>
        <v>521</v>
      </c>
      <c r="P26" s="5" t="s">
        <v>159</v>
      </c>
      <c r="Q26" s="5" t="s">
        <v>256</v>
      </c>
      <c r="R26" s="40" t="s">
        <v>54</v>
      </c>
      <c r="S26" s="40" t="s">
        <v>157</v>
      </c>
    </row>
    <row r="27" spans="1:19" ht="78" x14ac:dyDescent="0.3">
      <c r="A27" s="36"/>
      <c r="B27" s="35" t="s">
        <v>243</v>
      </c>
      <c r="C27" s="35" t="s">
        <v>2</v>
      </c>
      <c r="D27" s="32" t="s">
        <v>244</v>
      </c>
      <c r="E27" s="32" t="s">
        <v>245</v>
      </c>
      <c r="F27" s="32" t="s">
        <v>6</v>
      </c>
      <c r="G27" s="32"/>
      <c r="H27" s="5" t="s">
        <v>179</v>
      </c>
      <c r="I27" s="5" t="s">
        <v>181</v>
      </c>
      <c r="J27" s="5" t="s">
        <v>6</v>
      </c>
      <c r="K27" s="5" t="s">
        <v>180</v>
      </c>
      <c r="L27" s="5" t="s">
        <v>201</v>
      </c>
      <c r="M27" s="5" t="s">
        <v>201</v>
      </c>
      <c r="N27" s="5" t="str">
        <f>VLOOKUP(Table1[ST Jira HOS'#], Calc[], 10, FALSE)</f>
        <v>Low</v>
      </c>
      <c r="O27" s="6">
        <f ca="1">TODAY() - VLOOKUP(B27,'Age Data (Hidden)'!$A:$C,3,FALSE)</f>
        <v>113</v>
      </c>
      <c r="P27" s="5" t="s">
        <v>122</v>
      </c>
      <c r="Q27" s="5" t="s">
        <v>246</v>
      </c>
      <c r="R27" s="5" t="s">
        <v>246</v>
      </c>
      <c r="S27" s="5" t="s">
        <v>80</v>
      </c>
    </row>
    <row r="28" spans="1:19" ht="63.6" customHeight="1" x14ac:dyDescent="0.3">
      <c r="A28" s="36"/>
      <c r="B28" s="35" t="s">
        <v>308</v>
      </c>
      <c r="C28" s="155" t="s">
        <v>2</v>
      </c>
      <c r="D28" s="32" t="s">
        <v>359</v>
      </c>
      <c r="E28" s="32" t="s">
        <v>309</v>
      </c>
      <c r="F28" s="132" t="s">
        <v>201</v>
      </c>
      <c r="G28" s="132"/>
      <c r="H28" s="125" t="s">
        <v>179</v>
      </c>
      <c r="I28" s="125" t="s">
        <v>181</v>
      </c>
      <c r="J28" s="125" t="s">
        <v>201</v>
      </c>
      <c r="K28" s="125" t="s">
        <v>180</v>
      </c>
      <c r="L28" s="125" t="s">
        <v>201</v>
      </c>
      <c r="M28" s="125" t="s">
        <v>201</v>
      </c>
      <c r="N28" s="125" t="str">
        <f>VLOOKUP(Table1[ST Jira HOS'#], Calc[], 10, FALSE)</f>
        <v>Medium</v>
      </c>
      <c r="O28" s="126">
        <f ca="1">TODAY() - VLOOKUP(B28,'Age Data (Hidden)'!$A:$C,3,FALSE)</f>
        <v>100</v>
      </c>
      <c r="P28" s="5" t="s">
        <v>122</v>
      </c>
      <c r="Q28" s="125"/>
      <c r="R28" s="5" t="s">
        <v>30</v>
      </c>
      <c r="S28" s="5" t="s">
        <v>311</v>
      </c>
    </row>
    <row r="29" spans="1:19" ht="78" x14ac:dyDescent="0.3">
      <c r="A29" s="36"/>
      <c r="B29" s="35" t="s">
        <v>170</v>
      </c>
      <c r="C29" s="140" t="s">
        <v>2</v>
      </c>
      <c r="D29" s="32" t="s">
        <v>172</v>
      </c>
      <c r="E29" s="32" t="s">
        <v>171</v>
      </c>
      <c r="F29" s="32" t="s">
        <v>6</v>
      </c>
      <c r="G29" s="32" t="s">
        <v>14</v>
      </c>
      <c r="H29" s="5" t="s">
        <v>179</v>
      </c>
      <c r="I29" s="5" t="s">
        <v>182</v>
      </c>
      <c r="J29" s="5" t="s">
        <v>6</v>
      </c>
      <c r="K29" s="5" t="s">
        <v>181</v>
      </c>
      <c r="L29" s="5" t="s">
        <v>201</v>
      </c>
      <c r="M29" s="5" t="s">
        <v>201</v>
      </c>
      <c r="N29" s="5" t="str">
        <f>VLOOKUP(Table1[ST Jira HOS'#], Calc[], 10, FALSE)</f>
        <v>Low</v>
      </c>
      <c r="O29" s="41">
        <f ca="1">TODAY() - VLOOKUP(B29,'Age Data (Hidden)'!$A:$C,3,FALSE)</f>
        <v>525</v>
      </c>
      <c r="P29" s="5" t="s">
        <v>122</v>
      </c>
      <c r="Q29" s="5" t="s">
        <v>255</v>
      </c>
      <c r="R29" s="5" t="s">
        <v>100</v>
      </c>
      <c r="S29" s="40" t="s">
        <v>157</v>
      </c>
    </row>
    <row r="30" spans="1:19" ht="62.4" x14ac:dyDescent="0.3">
      <c r="A30" s="36"/>
      <c r="B30" s="61" t="s">
        <v>87</v>
      </c>
      <c r="C30" s="61" t="s">
        <v>2</v>
      </c>
      <c r="D30" s="32" t="s">
        <v>88</v>
      </c>
      <c r="E30" s="33" t="s">
        <v>92</v>
      </c>
      <c r="F30" s="33" t="s">
        <v>201</v>
      </c>
      <c r="G30" s="33" t="s">
        <v>14</v>
      </c>
      <c r="H30" s="5"/>
      <c r="I30" s="33"/>
      <c r="J30" s="33"/>
      <c r="K30" s="33"/>
      <c r="L30" s="33"/>
      <c r="M30" s="5"/>
      <c r="N30" s="33"/>
      <c r="O30" s="10">
        <f ca="1">TODAY() - VLOOKUP(B30,'Age Data (Hidden)'!$A:$C,3,FALSE)</f>
        <v>889</v>
      </c>
      <c r="P30" s="5" t="s">
        <v>159</v>
      </c>
      <c r="Q30" s="5" t="s">
        <v>30</v>
      </c>
      <c r="R30" s="5" t="s">
        <v>30</v>
      </c>
      <c r="S30" s="5" t="s">
        <v>40</v>
      </c>
    </row>
    <row r="31" spans="1:19" ht="46.8" x14ac:dyDescent="0.3">
      <c r="A31" s="13"/>
      <c r="B31" s="164" t="s">
        <v>329</v>
      </c>
      <c r="C31" s="164" t="s">
        <v>3</v>
      </c>
      <c r="D31" s="5" t="s">
        <v>330</v>
      </c>
      <c r="E31" s="5" t="s">
        <v>335</v>
      </c>
      <c r="F31" s="5" t="s">
        <v>201</v>
      </c>
      <c r="G31" s="134"/>
      <c r="H31" s="134" t="s">
        <v>179</v>
      </c>
      <c r="I31" s="134" t="s">
        <v>182</v>
      </c>
      <c r="J31" s="134" t="s">
        <v>6</v>
      </c>
      <c r="K31" s="134" t="s">
        <v>181</v>
      </c>
      <c r="L31" s="134" t="s">
        <v>6</v>
      </c>
      <c r="M31" s="134" t="s">
        <v>201</v>
      </c>
      <c r="N31" s="134" t="str">
        <f>VLOOKUP(Table1[ST Jira HOS'#], Calc[], 10, FALSE)</f>
        <v>High</v>
      </c>
      <c r="O31" s="135">
        <f ca="1">TODAY() - VLOOKUP(B31,'Age Data (Hidden)'!$A:$C,3,FALSE)</f>
        <v>66</v>
      </c>
      <c r="P31" s="5" t="s">
        <v>122</v>
      </c>
      <c r="Q31" s="134"/>
      <c r="R31" s="134"/>
      <c r="S31" s="134"/>
    </row>
    <row r="32" spans="1:19" ht="46.8" x14ac:dyDescent="0.3">
      <c r="A32" s="36"/>
      <c r="B32" s="35" t="s">
        <v>346</v>
      </c>
      <c r="C32" s="35" t="s">
        <v>2</v>
      </c>
      <c r="D32" s="32" t="s">
        <v>347</v>
      </c>
      <c r="E32" s="32" t="s">
        <v>348</v>
      </c>
      <c r="F32" s="32" t="s">
        <v>201</v>
      </c>
      <c r="G32" s="32"/>
      <c r="H32" s="5" t="s">
        <v>179</v>
      </c>
      <c r="I32" s="5" t="s">
        <v>181</v>
      </c>
      <c r="J32" s="5" t="s">
        <v>201</v>
      </c>
      <c r="K32" s="5" t="s">
        <v>180</v>
      </c>
      <c r="L32" s="5" t="s">
        <v>201</v>
      </c>
      <c r="M32" s="5" t="s">
        <v>201</v>
      </c>
      <c r="N32" s="5" t="str">
        <f>VLOOKUP(Table1[ST Jira HOS'#], Calc[], 10, FALSE)</f>
        <v>Medium</v>
      </c>
      <c r="O32" s="6">
        <f ca="1">TODAY() - VLOOKUP(B32,'Age Data (Hidden)'!$A:$C,3,FALSE)</f>
        <v>84</v>
      </c>
      <c r="P32" s="5" t="s">
        <v>122</v>
      </c>
      <c r="Q32" s="5" t="s">
        <v>30</v>
      </c>
      <c r="R32" s="5" t="s">
        <v>100</v>
      </c>
      <c r="S32" s="5" t="s">
        <v>40</v>
      </c>
    </row>
    <row r="33" spans="1:19" ht="46.8" x14ac:dyDescent="0.3">
      <c r="A33" s="13"/>
      <c r="B33" s="35" t="s">
        <v>343</v>
      </c>
      <c r="C33" s="35" t="s">
        <v>2</v>
      </c>
      <c r="D33" s="32" t="s">
        <v>344</v>
      </c>
      <c r="E33" s="32" t="s">
        <v>345</v>
      </c>
      <c r="F33" s="32" t="s">
        <v>6</v>
      </c>
      <c r="G33" s="32"/>
      <c r="H33" s="5" t="s">
        <v>179</v>
      </c>
      <c r="I33" s="5" t="s">
        <v>182</v>
      </c>
      <c r="J33" s="5" t="s">
        <v>6</v>
      </c>
      <c r="K33" s="5" t="s">
        <v>182</v>
      </c>
      <c r="L33" s="5" t="s">
        <v>201</v>
      </c>
      <c r="M33" s="5" t="s">
        <v>6</v>
      </c>
      <c r="N33" s="5" t="str">
        <f>VLOOKUP(Table1[ST Jira HOS'#], Calc[], 10, FALSE)</f>
        <v>Medium</v>
      </c>
      <c r="O33" s="6">
        <f ca="1">TODAY() - VLOOKUP(B33,'Age Data (Hidden)'!$A:$C,3,FALSE)</f>
        <v>136</v>
      </c>
      <c r="P33" s="5" t="s">
        <v>122</v>
      </c>
      <c r="Q33" s="5" t="s">
        <v>256</v>
      </c>
      <c r="R33" s="5" t="s">
        <v>100</v>
      </c>
      <c r="S33" s="5" t="s">
        <v>157</v>
      </c>
    </row>
    <row r="34" spans="1:19" ht="46.8" x14ac:dyDescent="0.3">
      <c r="A34" s="36"/>
      <c r="B34" s="155" t="s">
        <v>306</v>
      </c>
      <c r="C34" s="155" t="s">
        <v>2</v>
      </c>
      <c r="D34" s="132" t="s">
        <v>307</v>
      </c>
      <c r="E34" s="132" t="s">
        <v>307</v>
      </c>
      <c r="F34" s="132" t="s">
        <v>201</v>
      </c>
      <c r="G34" s="132"/>
      <c r="H34" s="125" t="s">
        <v>215</v>
      </c>
      <c r="I34" s="125" t="s">
        <v>181</v>
      </c>
      <c r="J34" s="125" t="s">
        <v>201</v>
      </c>
      <c r="K34" s="125" t="s">
        <v>180</v>
      </c>
      <c r="L34" s="125" t="s">
        <v>201</v>
      </c>
      <c r="M34" s="125" t="s">
        <v>201</v>
      </c>
      <c r="N34" s="125" t="str">
        <f>VLOOKUP(Table1[ST Jira HOS'#], Calc[], 10, FALSE)</f>
        <v>Low</v>
      </c>
      <c r="O34" s="126">
        <f ca="1">TODAY() - VLOOKUP(B34,'Age Data (Hidden)'!$A:$C,3,FALSE)</f>
        <v>593</v>
      </c>
      <c r="P34" s="5" t="s">
        <v>159</v>
      </c>
      <c r="Q34" s="125" t="s">
        <v>30</v>
      </c>
      <c r="R34" s="125" t="s">
        <v>54</v>
      </c>
      <c r="S34" s="125" t="s">
        <v>80</v>
      </c>
    </row>
    <row r="35" spans="1:19" ht="46.8" x14ac:dyDescent="0.3">
      <c r="A35" s="13"/>
      <c r="B35" s="140" t="s">
        <v>164</v>
      </c>
      <c r="C35" s="140" t="s">
        <v>2</v>
      </c>
      <c r="D35" s="104" t="s">
        <v>165</v>
      </c>
      <c r="E35" s="104" t="s">
        <v>166</v>
      </c>
      <c r="F35" s="32" t="s">
        <v>6</v>
      </c>
      <c r="G35" s="104" t="s">
        <v>14</v>
      </c>
      <c r="H35" s="5" t="s">
        <v>179</v>
      </c>
      <c r="I35" s="40" t="s">
        <v>181</v>
      </c>
      <c r="J35" s="5" t="s">
        <v>6</v>
      </c>
      <c r="K35" s="40" t="s">
        <v>180</v>
      </c>
      <c r="L35" s="40" t="s">
        <v>201</v>
      </c>
      <c r="M35" s="5" t="s">
        <v>201</v>
      </c>
      <c r="N35" s="40" t="str">
        <f>VLOOKUP(Table1[ST Jira HOS'#], Calc[], 10, FALSE)</f>
        <v>Low</v>
      </c>
      <c r="O35" s="41">
        <f ca="1">TODAY() - VLOOKUP(B35,'Age Data (Hidden)'!$A:$C,3,FALSE)</f>
        <v>434</v>
      </c>
      <c r="P35" s="5" t="s">
        <v>122</v>
      </c>
      <c r="Q35" s="5" t="s">
        <v>256</v>
      </c>
      <c r="R35" s="40" t="s">
        <v>54</v>
      </c>
      <c r="S35" s="40" t="s">
        <v>157</v>
      </c>
    </row>
    <row r="36" spans="1:19" ht="31.2" x14ac:dyDescent="0.3">
      <c r="A36" s="36"/>
      <c r="B36" s="35" t="s">
        <v>336</v>
      </c>
      <c r="C36" s="35" t="s">
        <v>2</v>
      </c>
      <c r="D36" s="32" t="s">
        <v>337</v>
      </c>
      <c r="E36" s="32" t="s">
        <v>338</v>
      </c>
      <c r="F36" s="148" t="s">
        <v>6</v>
      </c>
      <c r="G36" s="148"/>
      <c r="H36" s="134" t="s">
        <v>179</v>
      </c>
      <c r="I36" s="134" t="s">
        <v>182</v>
      </c>
      <c r="J36" s="134" t="s">
        <v>6</v>
      </c>
      <c r="K36" s="134" t="s">
        <v>180</v>
      </c>
      <c r="L36" s="134" t="s">
        <v>201</v>
      </c>
      <c r="M36" s="134" t="s">
        <v>201</v>
      </c>
      <c r="N36" s="134" t="str">
        <f>VLOOKUP(Table1[ST Jira HOS'#], Calc[], 10, FALSE)</f>
        <v>Low</v>
      </c>
      <c r="O36" s="135">
        <f ca="1">TODAY() - VLOOKUP(B36,'Age Data (Hidden)'!$A:$C,3,FALSE)</f>
        <v>67</v>
      </c>
      <c r="P36" s="5" t="s">
        <v>122</v>
      </c>
      <c r="Q36" s="134" t="s">
        <v>255</v>
      </c>
      <c r="R36" s="5" t="s">
        <v>100</v>
      </c>
      <c r="S36" s="5" t="s">
        <v>132</v>
      </c>
    </row>
    <row r="37" spans="1:19" ht="31.2" x14ac:dyDescent="0.3">
      <c r="A37" s="30">
        <v>1</v>
      </c>
      <c r="B37" s="102" t="s">
        <v>139</v>
      </c>
      <c r="C37" s="102" t="s">
        <v>3</v>
      </c>
      <c r="D37" s="102" t="s">
        <v>140</v>
      </c>
      <c r="E37" s="32" t="s">
        <v>199</v>
      </c>
      <c r="F37" s="32" t="s">
        <v>201</v>
      </c>
      <c r="G37" s="102" t="s">
        <v>14</v>
      </c>
      <c r="H37" s="5" t="s">
        <v>179</v>
      </c>
      <c r="I37" s="5" t="s">
        <v>180</v>
      </c>
      <c r="J37" s="5" t="s">
        <v>6</v>
      </c>
      <c r="K37" s="5" t="s">
        <v>181</v>
      </c>
      <c r="L37" s="5" t="s">
        <v>6</v>
      </c>
      <c r="M37" s="5" t="s">
        <v>201</v>
      </c>
      <c r="N37" s="5" t="str">
        <f>VLOOKUP(Table1[ST Jira HOS'#], Calc[], 10, FALSE)</f>
        <v>Critical</v>
      </c>
      <c r="O37" s="6">
        <f ca="1">TODAY() - VLOOKUP(B37,'Age Data (Hidden)'!$A:$C,3,FALSE)</f>
        <v>261</v>
      </c>
      <c r="P37" s="5" t="s">
        <v>11</v>
      </c>
      <c r="Q37" s="5" t="s">
        <v>255</v>
      </c>
      <c r="R37" s="30" t="s">
        <v>52</v>
      </c>
      <c r="S37" s="30" t="s">
        <v>18</v>
      </c>
    </row>
    <row r="38" spans="1:19" ht="93.6" x14ac:dyDescent="0.3">
      <c r="A38" s="5">
        <v>2</v>
      </c>
      <c r="B38" s="134" t="s">
        <v>350</v>
      </c>
      <c r="C38" s="134" t="s">
        <v>3</v>
      </c>
      <c r="D38" s="134" t="s">
        <v>352</v>
      </c>
      <c r="E38" s="134" t="s">
        <v>353</v>
      </c>
      <c r="F38" s="134" t="s">
        <v>201</v>
      </c>
      <c r="G38" s="134"/>
      <c r="H38" s="134" t="s">
        <v>215</v>
      </c>
      <c r="I38" s="134" t="s">
        <v>180</v>
      </c>
      <c r="J38" s="134" t="s">
        <v>6</v>
      </c>
      <c r="K38" s="134" t="s">
        <v>181</v>
      </c>
      <c r="L38" s="134" t="s">
        <v>201</v>
      </c>
      <c r="M38" s="134" t="s">
        <v>201</v>
      </c>
      <c r="N38" s="134" t="str">
        <f>VLOOKUP(Table1[ST Jira HOS'#], Calc[], 10, FALSE)</f>
        <v>Medium</v>
      </c>
      <c r="O38" s="135">
        <f ca="1">TODAY() - VLOOKUP(B38,'Age Data (Hidden)'!$A:$C,3,FALSE)</f>
        <v>70</v>
      </c>
      <c r="P38" s="134" t="s">
        <v>11</v>
      </c>
      <c r="Q38" s="134" t="s">
        <v>255</v>
      </c>
      <c r="R38" s="134" t="s">
        <v>50</v>
      </c>
      <c r="S38" s="134" t="s">
        <v>342</v>
      </c>
    </row>
    <row r="39" spans="1:19" ht="62.4" x14ac:dyDescent="0.3">
      <c r="A39" s="30">
        <v>3</v>
      </c>
      <c r="B39" s="159" t="s">
        <v>369</v>
      </c>
      <c r="C39" s="5" t="s">
        <v>3</v>
      </c>
      <c r="D39" s="5" t="s">
        <v>370</v>
      </c>
      <c r="E39" s="5" t="s">
        <v>371</v>
      </c>
      <c r="F39" s="159" t="s">
        <v>201</v>
      </c>
      <c r="G39" s="159"/>
      <c r="H39" s="159" t="s">
        <v>179</v>
      </c>
      <c r="I39" s="159" t="s">
        <v>181</v>
      </c>
      <c r="J39" s="159" t="s">
        <v>6</v>
      </c>
      <c r="K39" s="159" t="s">
        <v>181</v>
      </c>
      <c r="L39" s="159" t="s">
        <v>201</v>
      </c>
      <c r="M39" s="159" t="s">
        <v>201</v>
      </c>
      <c r="N39" s="159" t="str">
        <f>VLOOKUP(Table1[ST Jira HOS'#], Calc[], 10, FALSE)</f>
        <v>Medium</v>
      </c>
      <c r="O39" s="160">
        <f ca="1">TODAY() - VLOOKUP(B39,'Age Data (Hidden)'!$A:$C,3,FALSE)</f>
        <v>73</v>
      </c>
      <c r="P39" s="5" t="s">
        <v>11</v>
      </c>
      <c r="Q39" s="5" t="s">
        <v>255</v>
      </c>
      <c r="R39" s="5" t="s">
        <v>52</v>
      </c>
      <c r="S39" s="5" t="s">
        <v>24</v>
      </c>
    </row>
    <row r="40" spans="1:19" ht="62.4" x14ac:dyDescent="0.3">
      <c r="A40" s="5">
        <v>4</v>
      </c>
      <c r="B40" s="5" t="s">
        <v>366</v>
      </c>
      <c r="C40" s="5" t="s">
        <v>2</v>
      </c>
      <c r="D40" s="5" t="s">
        <v>363</v>
      </c>
      <c r="E40" s="5" t="s">
        <v>364</v>
      </c>
      <c r="F40" s="5" t="s">
        <v>201</v>
      </c>
      <c r="G40" s="5"/>
      <c r="H40" s="5" t="s">
        <v>179</v>
      </c>
      <c r="I40" s="5" t="s">
        <v>181</v>
      </c>
      <c r="J40" s="5" t="s">
        <v>201</v>
      </c>
      <c r="K40" s="5" t="s">
        <v>180</v>
      </c>
      <c r="L40" s="5" t="s">
        <v>201</v>
      </c>
      <c r="M40" s="5" t="s">
        <v>201</v>
      </c>
      <c r="N40" s="5" t="str">
        <f>VLOOKUP(Table1[ST Jira HOS'#], Calc[], 10, FALSE)</f>
        <v>Medium</v>
      </c>
      <c r="O40" s="6" t="e">
        <f ca="1">TODAY() - VLOOKUP(B40,'Age Data (Hidden)'!$A:$C,3,FALSE)</f>
        <v>#N/A</v>
      </c>
      <c r="P40" s="5" t="s">
        <v>11</v>
      </c>
      <c r="Q40" s="5" t="s">
        <v>30</v>
      </c>
      <c r="R40" s="5" t="s">
        <v>30</v>
      </c>
      <c r="S40" s="5" t="s">
        <v>40</v>
      </c>
    </row>
    <row r="41" spans="1:19" ht="46.8" x14ac:dyDescent="0.3">
      <c r="A41" s="30">
        <v>5</v>
      </c>
      <c r="B41" s="32" t="s">
        <v>270</v>
      </c>
      <c r="C41" s="32" t="s">
        <v>3</v>
      </c>
      <c r="D41" s="32" t="s">
        <v>272</v>
      </c>
      <c r="E41" s="32" t="s">
        <v>271</v>
      </c>
      <c r="F41" s="32" t="s">
        <v>6</v>
      </c>
      <c r="G41" s="32"/>
      <c r="H41" s="5" t="s">
        <v>215</v>
      </c>
      <c r="I41" s="5" t="s">
        <v>180</v>
      </c>
      <c r="J41" s="5" t="s">
        <v>201</v>
      </c>
      <c r="K41" s="5" t="s">
        <v>182</v>
      </c>
      <c r="L41" s="5" t="s">
        <v>6</v>
      </c>
      <c r="M41" s="5" t="s">
        <v>6</v>
      </c>
      <c r="N41" s="5" t="str">
        <f>VLOOKUP(Table1[ST Jira HOS'#], Calc[], 10, FALSE)</f>
        <v>Medium</v>
      </c>
      <c r="O41" s="6">
        <f ca="1">TODAY() - VLOOKUP(B41,'Age Data (Hidden)'!$A:$C,3,FALSE)</f>
        <v>184</v>
      </c>
      <c r="P41" s="5" t="s">
        <v>11</v>
      </c>
      <c r="Q41" s="5" t="s">
        <v>30</v>
      </c>
      <c r="R41" s="5" t="s">
        <v>55</v>
      </c>
      <c r="S41" s="5" t="s">
        <v>28</v>
      </c>
    </row>
    <row r="42" spans="1:19" ht="62.4" x14ac:dyDescent="0.3">
      <c r="A42" s="5">
        <v>6</v>
      </c>
      <c r="B42" s="148" t="s">
        <v>318</v>
      </c>
      <c r="C42" s="148" t="s">
        <v>2</v>
      </c>
      <c r="D42" s="148" t="s">
        <v>319</v>
      </c>
      <c r="E42" s="148" t="s">
        <v>320</v>
      </c>
      <c r="F42" s="148" t="s">
        <v>6</v>
      </c>
      <c r="G42" s="148"/>
      <c r="H42" s="134" t="s">
        <v>179</v>
      </c>
      <c r="I42" s="134" t="s">
        <v>181</v>
      </c>
      <c r="J42" s="134" t="s">
        <v>6</v>
      </c>
      <c r="K42" s="134" t="s">
        <v>181</v>
      </c>
      <c r="L42" s="134" t="s">
        <v>201</v>
      </c>
      <c r="M42" s="134" t="s">
        <v>201</v>
      </c>
      <c r="N42" s="134" t="str">
        <f>VLOOKUP(Table1[ST Jira HOS'#], Calc[], 10, FALSE)</f>
        <v>Low</v>
      </c>
      <c r="O42" s="135">
        <f ca="1">TODAY() - VLOOKUP(B42,'Age Data (Hidden)'!$A:$C,3,FALSE)</f>
        <v>120</v>
      </c>
      <c r="P42" s="5" t="s">
        <v>97</v>
      </c>
      <c r="Q42" s="5" t="s">
        <v>256</v>
      </c>
      <c r="R42" s="5" t="s">
        <v>54</v>
      </c>
      <c r="S42" s="5" t="s">
        <v>157</v>
      </c>
    </row>
    <row r="43" spans="1:19" ht="62.4" x14ac:dyDescent="0.3">
      <c r="A43" s="5">
        <v>7</v>
      </c>
      <c r="B43" s="32" t="s">
        <v>339</v>
      </c>
      <c r="C43" s="32" t="s">
        <v>3</v>
      </c>
      <c r="D43" s="32" t="s">
        <v>340</v>
      </c>
      <c r="E43" s="32" t="s">
        <v>340</v>
      </c>
      <c r="F43" s="32" t="s">
        <v>6</v>
      </c>
      <c r="G43" s="32"/>
      <c r="H43" s="5" t="s">
        <v>179</v>
      </c>
      <c r="I43" s="5" t="s">
        <v>180</v>
      </c>
      <c r="J43" s="5" t="s">
        <v>6</v>
      </c>
      <c r="K43" s="5" t="s">
        <v>181</v>
      </c>
      <c r="L43" s="5" t="s">
        <v>201</v>
      </c>
      <c r="M43" s="5" t="s">
        <v>201</v>
      </c>
      <c r="N43" s="5" t="str">
        <f>VLOOKUP(Table1[ST Jira HOS'#], Calc[], 10, FALSE)</f>
        <v>Low</v>
      </c>
      <c r="O43" s="6">
        <f ca="1">TODAY() - VLOOKUP(B43,'Age Data (Hidden)'!$A:$C,3,FALSE)</f>
        <v>134</v>
      </c>
      <c r="P43" s="5" t="s">
        <v>11</v>
      </c>
      <c r="Q43" s="5" t="s">
        <v>255</v>
      </c>
      <c r="R43" s="5" t="s">
        <v>341</v>
      </c>
      <c r="S43" s="5" t="s">
        <v>342</v>
      </c>
    </row>
    <row r="44" spans="1:19" ht="46.8" x14ac:dyDescent="0.3">
      <c r="A44" s="5">
        <v>8</v>
      </c>
      <c r="B44" s="5" t="s">
        <v>383</v>
      </c>
      <c r="C44" s="5" t="s">
        <v>3</v>
      </c>
      <c r="D44" s="5" t="s">
        <v>384</v>
      </c>
      <c r="E44" s="5" t="s">
        <v>385</v>
      </c>
      <c r="F44" s="5" t="s">
        <v>201</v>
      </c>
      <c r="G44" s="5"/>
      <c r="H44" s="5" t="s">
        <v>179</v>
      </c>
      <c r="I44" s="5" t="s">
        <v>182</v>
      </c>
      <c r="J44" s="5" t="s">
        <v>6</v>
      </c>
      <c r="K44" s="5" t="s">
        <v>181</v>
      </c>
      <c r="L44" s="5" t="s">
        <v>201</v>
      </c>
      <c r="M44" s="5" t="s">
        <v>201</v>
      </c>
      <c r="N44" s="5" t="str">
        <f>VLOOKUP(Table1[ST Jira HOS'#], Calc[], 10, FALSE)</f>
        <v>Medium</v>
      </c>
      <c r="O44" s="6">
        <f ca="1">TODAY() - VLOOKUP(B44,'Age Data (Hidden)'!$A:$C,3,FALSE)</f>
        <v>65</v>
      </c>
      <c r="P44" s="5" t="s">
        <v>11</v>
      </c>
      <c r="Q44" s="5" t="s">
        <v>255</v>
      </c>
      <c r="R44" s="5" t="s">
        <v>54</v>
      </c>
      <c r="S44" s="5" t="s">
        <v>342</v>
      </c>
    </row>
    <row r="45" spans="1:19" ht="31.2" x14ac:dyDescent="0.3">
      <c r="A45" s="30">
        <v>9</v>
      </c>
      <c r="B45" s="32" t="s">
        <v>129</v>
      </c>
      <c r="C45" s="32" t="s">
        <v>3</v>
      </c>
      <c r="D45" s="32" t="s">
        <v>130</v>
      </c>
      <c r="E45" s="32" t="s">
        <v>131</v>
      </c>
      <c r="F45" s="32" t="s">
        <v>6</v>
      </c>
      <c r="G45" s="32" t="s">
        <v>14</v>
      </c>
      <c r="H45" s="5" t="s">
        <v>215</v>
      </c>
      <c r="I45" s="32" t="s">
        <v>182</v>
      </c>
      <c r="J45" s="32" t="s">
        <v>6</v>
      </c>
      <c r="K45" s="32" t="s">
        <v>181</v>
      </c>
      <c r="L45" s="32" t="s">
        <v>201</v>
      </c>
      <c r="M45" s="5" t="s">
        <v>201</v>
      </c>
      <c r="N45" s="32" t="str">
        <f>VLOOKUP(Table1[ST Jira HOS'#], Calc[], 10, FALSE)</f>
        <v>Low</v>
      </c>
      <c r="O45" s="6">
        <f ca="1">TODAY() - VLOOKUP(B45,'Age Data (Hidden)'!$A:$C,3,FALSE)</f>
        <v>386</v>
      </c>
      <c r="P45" s="5" t="s">
        <v>11</v>
      </c>
      <c r="Q45" s="5" t="s">
        <v>255</v>
      </c>
      <c r="R45" s="5" t="s">
        <v>54</v>
      </c>
      <c r="S45" s="5" t="s">
        <v>132</v>
      </c>
    </row>
    <row r="46" spans="1:19" ht="46.8" x14ac:dyDescent="0.3">
      <c r="A46" s="5">
        <v>10</v>
      </c>
      <c r="B46" s="33" t="s">
        <v>72</v>
      </c>
      <c r="C46" s="32" t="s">
        <v>3</v>
      </c>
      <c r="D46" s="32" t="s">
        <v>73</v>
      </c>
      <c r="E46" s="32"/>
      <c r="F46" s="32" t="s">
        <v>201</v>
      </c>
      <c r="G46" s="32" t="s">
        <v>14</v>
      </c>
      <c r="H46" s="5" t="s">
        <v>179</v>
      </c>
      <c r="I46" s="5" t="s">
        <v>181</v>
      </c>
      <c r="J46" s="5" t="s">
        <v>201</v>
      </c>
      <c r="K46" s="5" t="s">
        <v>181</v>
      </c>
      <c r="L46" s="5" t="s">
        <v>6</v>
      </c>
      <c r="M46" s="5" t="s">
        <v>201</v>
      </c>
      <c r="N46" s="5" t="str">
        <f>VLOOKUP(Table1[ST Jira HOS'#], Calc[], 10, FALSE)</f>
        <v>Medium</v>
      </c>
      <c r="O46" s="10">
        <f ca="1">TODAY() - VLOOKUP(B46,'Age Data (Hidden)'!$A:$C,3,FALSE)</f>
        <v>311</v>
      </c>
      <c r="P46" s="9" t="s">
        <v>11</v>
      </c>
      <c r="Q46" s="5" t="s">
        <v>256</v>
      </c>
      <c r="R46" s="5" t="s">
        <v>55</v>
      </c>
      <c r="S46" s="5" t="s">
        <v>36</v>
      </c>
    </row>
    <row r="47" spans="1:19" ht="62.4" x14ac:dyDescent="0.3">
      <c r="A47" s="30">
        <v>11</v>
      </c>
      <c r="B47" s="31" t="s">
        <v>115</v>
      </c>
      <c r="C47" s="31" t="s">
        <v>3</v>
      </c>
      <c r="D47" s="31" t="s">
        <v>116</v>
      </c>
      <c r="E47" s="31" t="s">
        <v>128</v>
      </c>
      <c r="F47" s="31" t="s">
        <v>201</v>
      </c>
      <c r="G47" s="31" t="s">
        <v>14</v>
      </c>
      <c r="H47" s="5" t="s">
        <v>215</v>
      </c>
      <c r="I47" s="31" t="s">
        <v>182</v>
      </c>
      <c r="J47" s="31" t="s">
        <v>201</v>
      </c>
      <c r="K47" s="31" t="s">
        <v>181</v>
      </c>
      <c r="L47" s="31" t="s">
        <v>6</v>
      </c>
      <c r="M47" s="5" t="s">
        <v>201</v>
      </c>
      <c r="N47" s="31" t="str">
        <f>VLOOKUP(Table1[ST Jira HOS'#], Calc[], 10, FALSE)</f>
        <v>Medium</v>
      </c>
      <c r="O47" s="20">
        <f ca="1">TODAY() - VLOOKUP(B47,'Age Data (Hidden)'!$A:$C,3,FALSE)</f>
        <v>205</v>
      </c>
      <c r="P47" s="19" t="s">
        <v>97</v>
      </c>
      <c r="Q47" s="19" t="s">
        <v>256</v>
      </c>
      <c r="R47" s="19" t="s">
        <v>55</v>
      </c>
      <c r="S47" s="19"/>
    </row>
    <row r="48" spans="1:19" ht="31.2" x14ac:dyDescent="0.3">
      <c r="A48" s="5">
        <v>12</v>
      </c>
      <c r="B48" s="104" t="s">
        <v>161</v>
      </c>
      <c r="C48" s="104" t="s">
        <v>2</v>
      </c>
      <c r="D48" s="104" t="s">
        <v>162</v>
      </c>
      <c r="E48" s="104" t="s">
        <v>163</v>
      </c>
      <c r="F48" s="32" t="s">
        <v>6</v>
      </c>
      <c r="G48" s="104" t="s">
        <v>14</v>
      </c>
      <c r="H48" s="5" t="s">
        <v>179</v>
      </c>
      <c r="I48" s="40" t="s">
        <v>181</v>
      </c>
      <c r="J48" s="40" t="s">
        <v>6</v>
      </c>
      <c r="K48" s="40" t="s">
        <v>182</v>
      </c>
      <c r="L48" s="40" t="s">
        <v>201</v>
      </c>
      <c r="M48" s="5" t="s">
        <v>201</v>
      </c>
      <c r="N48" s="40" t="str">
        <f>VLOOKUP(Table1[ST Jira HOS'#], Calc[], 10, FALSE)</f>
        <v>Low</v>
      </c>
      <c r="O48" s="41">
        <f ca="1">TODAY() - VLOOKUP(B48,'Age Data (Hidden)'!$A:$C,3,FALSE)</f>
        <v>414</v>
      </c>
      <c r="P48" s="40" t="s">
        <v>11</v>
      </c>
      <c r="Q48" s="5" t="s">
        <v>255</v>
      </c>
      <c r="R48" s="40" t="s">
        <v>54</v>
      </c>
      <c r="S48" s="40" t="s">
        <v>157</v>
      </c>
    </row>
    <row r="49" spans="1:19" ht="62.4" x14ac:dyDescent="0.3">
      <c r="A49" s="5">
        <v>13</v>
      </c>
      <c r="B49" s="5" t="s">
        <v>386</v>
      </c>
      <c r="C49" s="5" t="s">
        <v>3</v>
      </c>
      <c r="D49" s="5" t="s">
        <v>398</v>
      </c>
      <c r="E49" s="5" t="s">
        <v>387</v>
      </c>
      <c r="F49" s="5" t="s">
        <v>201</v>
      </c>
      <c r="G49" s="5"/>
      <c r="H49" s="5" t="s">
        <v>179</v>
      </c>
      <c r="I49" s="5" t="s">
        <v>182</v>
      </c>
      <c r="J49" s="5" t="s">
        <v>6</v>
      </c>
      <c r="K49" s="5" t="s">
        <v>181</v>
      </c>
      <c r="L49" s="5" t="s">
        <v>201</v>
      </c>
      <c r="M49" s="5" t="s">
        <v>201</v>
      </c>
      <c r="N49" s="5" t="str">
        <f>VLOOKUP(Table1[ST Jira HOS'#], Calc[], 10, FALSE)</f>
        <v>Medium</v>
      </c>
      <c r="O49" s="6">
        <f ca="1">TODAY() - VLOOKUP(B49,'Age Data (Hidden)'!$A:$C,3,FALSE)</f>
        <v>17</v>
      </c>
      <c r="P49" s="5" t="s">
        <v>11</v>
      </c>
      <c r="Q49" s="5" t="s">
        <v>255</v>
      </c>
      <c r="R49" s="5" t="s">
        <v>100</v>
      </c>
      <c r="S49" s="5" t="s">
        <v>342</v>
      </c>
    </row>
    <row r="50" spans="1:19" ht="62.4" x14ac:dyDescent="0.3">
      <c r="A50" s="187">
        <v>14</v>
      </c>
      <c r="B50" s="187" t="s">
        <v>400</v>
      </c>
      <c r="C50" s="5" t="s">
        <v>2</v>
      </c>
      <c r="D50" s="5" t="s">
        <v>401</v>
      </c>
      <c r="E50" s="187" t="s">
        <v>401</v>
      </c>
      <c r="F50" s="5" t="s">
        <v>201</v>
      </c>
      <c r="G50" s="187"/>
      <c r="H50" s="187" t="s">
        <v>215</v>
      </c>
      <c r="I50" s="187" t="s">
        <v>181</v>
      </c>
      <c r="J50" s="187" t="s">
        <v>201</v>
      </c>
      <c r="K50" s="187" t="s">
        <v>180</v>
      </c>
      <c r="L50" s="187" t="s">
        <v>201</v>
      </c>
      <c r="M50" s="187" t="s">
        <v>201</v>
      </c>
      <c r="N50" s="187" t="str">
        <f>VLOOKUP(Table1[ST Jira HOS'#], Calc[], 10, FALSE)</f>
        <v>Low</v>
      </c>
      <c r="O50" s="188">
        <f ca="1">TODAY() - VLOOKUP(B50,'Age Data (Hidden)'!$A:$C,3,FALSE)</f>
        <v>729</v>
      </c>
      <c r="P50" s="5" t="s">
        <v>11</v>
      </c>
      <c r="Q50" s="5" t="s">
        <v>30</v>
      </c>
      <c r="R50" s="5" t="s">
        <v>54</v>
      </c>
      <c r="S50" s="5" t="s">
        <v>311</v>
      </c>
    </row>
    <row r="51" spans="1:19" ht="31.2" x14ac:dyDescent="0.3">
      <c r="A51" s="30">
        <v>15</v>
      </c>
      <c r="B51" s="33" t="s">
        <v>108</v>
      </c>
      <c r="C51" s="33" t="s">
        <v>3</v>
      </c>
      <c r="D51" s="33" t="s">
        <v>109</v>
      </c>
      <c r="E51" s="33" t="s">
        <v>110</v>
      </c>
      <c r="F51" s="33" t="s">
        <v>201</v>
      </c>
      <c r="G51" s="33" t="s">
        <v>14</v>
      </c>
      <c r="H51" s="5" t="s">
        <v>179</v>
      </c>
      <c r="I51" s="33" t="s">
        <v>181</v>
      </c>
      <c r="J51" s="33" t="s">
        <v>6</v>
      </c>
      <c r="K51" s="33" t="s">
        <v>181</v>
      </c>
      <c r="L51" s="33" t="s">
        <v>201</v>
      </c>
      <c r="M51" s="5" t="s">
        <v>201</v>
      </c>
      <c r="N51" s="33" t="str">
        <f>VLOOKUP(Table1[ST Jira HOS'#], Calc[], 10, FALSE)</f>
        <v>Medium</v>
      </c>
      <c r="O51" s="10">
        <f ca="1">TODAY() - VLOOKUP(B51,'Age Data (Hidden)'!$A:$C,3,FALSE)</f>
        <v>228</v>
      </c>
      <c r="P51" s="5" t="s">
        <v>11</v>
      </c>
      <c r="Q51" s="5" t="s">
        <v>255</v>
      </c>
      <c r="R51" s="11" t="s">
        <v>54</v>
      </c>
      <c r="S51" s="9" t="s">
        <v>111</v>
      </c>
    </row>
    <row r="52" spans="1:19" ht="31.2" x14ac:dyDescent="0.3">
      <c r="A52" s="5">
        <v>16</v>
      </c>
      <c r="B52" s="5" t="s">
        <v>381</v>
      </c>
      <c r="C52" s="5" t="s">
        <v>3</v>
      </c>
      <c r="D52" s="5" t="s">
        <v>378</v>
      </c>
      <c r="E52" s="161"/>
      <c r="F52" s="161" t="s">
        <v>201</v>
      </c>
      <c r="G52" s="161"/>
      <c r="H52" s="161" t="s">
        <v>215</v>
      </c>
      <c r="I52" s="161" t="s">
        <v>181</v>
      </c>
      <c r="J52" s="161" t="s">
        <v>201</v>
      </c>
      <c r="K52" s="161" t="s">
        <v>181</v>
      </c>
      <c r="L52" s="161" t="s">
        <v>201</v>
      </c>
      <c r="M52" s="161" t="s">
        <v>201</v>
      </c>
      <c r="N52" s="161" t="str">
        <f>VLOOKUP(Table1[ST Jira HOS'#], Calc[], 10, FALSE)</f>
        <v>Low</v>
      </c>
      <c r="O52" s="162">
        <f ca="1">TODAY() - VLOOKUP(B52,'Age Data (Hidden)'!$A:$C,3,FALSE)</f>
        <v>305</v>
      </c>
      <c r="P52" s="5" t="s">
        <v>11</v>
      </c>
      <c r="Q52" s="5" t="s">
        <v>30</v>
      </c>
      <c r="R52" s="5" t="s">
        <v>54</v>
      </c>
      <c r="S52" s="5" t="s">
        <v>40</v>
      </c>
    </row>
    <row r="53" spans="1:19" ht="46.8" x14ac:dyDescent="0.3">
      <c r="A53" s="30">
        <v>17</v>
      </c>
      <c r="B53" s="134" t="s">
        <v>351</v>
      </c>
      <c r="C53" s="134" t="s">
        <v>2</v>
      </c>
      <c r="D53" s="134" t="s">
        <v>354</v>
      </c>
      <c r="E53" s="134" t="s">
        <v>355</v>
      </c>
      <c r="F53" s="134" t="s">
        <v>6</v>
      </c>
      <c r="G53" s="134"/>
      <c r="H53" s="134" t="s">
        <v>179</v>
      </c>
      <c r="I53" s="134" t="s">
        <v>181</v>
      </c>
      <c r="J53" s="134" t="s">
        <v>6</v>
      </c>
      <c r="K53" s="134" t="s">
        <v>182</v>
      </c>
      <c r="L53" s="134" t="s">
        <v>201</v>
      </c>
      <c r="M53" s="134" t="s">
        <v>201</v>
      </c>
      <c r="N53" s="134" t="str">
        <f>VLOOKUP(Table1[ST Jira HOS'#], Calc[], 10, FALSE)</f>
        <v>Low</v>
      </c>
      <c r="O53" s="135">
        <f ca="1">TODAY() - VLOOKUP(B53,'Age Data (Hidden)'!$A:$C,3,FALSE)</f>
        <v>129</v>
      </c>
      <c r="P53" s="134" t="s">
        <v>11</v>
      </c>
      <c r="Q53" s="134" t="s">
        <v>256</v>
      </c>
      <c r="R53" s="134" t="s">
        <v>54</v>
      </c>
      <c r="S53" s="134" t="s">
        <v>157</v>
      </c>
    </row>
    <row r="54" spans="1:19" ht="62.4" x14ac:dyDescent="0.3">
      <c r="A54" s="5">
        <v>98</v>
      </c>
      <c r="B54" s="28" t="s">
        <v>141</v>
      </c>
      <c r="C54" s="28" t="s">
        <v>2</v>
      </c>
      <c r="D54" s="28" t="s">
        <v>143</v>
      </c>
      <c r="E54" s="28" t="s">
        <v>142</v>
      </c>
      <c r="F54" s="32" t="s">
        <v>6</v>
      </c>
      <c r="G54" s="28" t="s">
        <v>14</v>
      </c>
      <c r="H54" s="5" t="s">
        <v>179</v>
      </c>
      <c r="I54" s="28" t="s">
        <v>180</v>
      </c>
      <c r="J54" s="28" t="s">
        <v>6</v>
      </c>
      <c r="K54" s="28" t="s">
        <v>181</v>
      </c>
      <c r="L54" s="28" t="s">
        <v>201</v>
      </c>
      <c r="M54" s="5" t="s">
        <v>201</v>
      </c>
      <c r="N54" s="28" t="str">
        <f>VLOOKUP(Table1[ST Jira HOS'#], Calc[], 10, FALSE)</f>
        <v>Low</v>
      </c>
      <c r="O54" s="27">
        <f ca="1">TODAY() - VLOOKUP(B54,'Age Data (Hidden)'!$A:$C,3,FALSE)</f>
        <v>610</v>
      </c>
      <c r="P54" s="32" t="s">
        <v>11</v>
      </c>
      <c r="Q54" s="32" t="s">
        <v>30</v>
      </c>
      <c r="R54" s="28"/>
      <c r="S54" s="28"/>
    </row>
    <row r="55" spans="1:19" ht="46.8" x14ac:dyDescent="0.3">
      <c r="A55" s="9">
        <v>99</v>
      </c>
      <c r="B55" s="5" t="s">
        <v>4</v>
      </c>
      <c r="C55" s="5" t="s">
        <v>3</v>
      </c>
      <c r="D55" s="5" t="s">
        <v>7</v>
      </c>
      <c r="E55" s="5" t="s">
        <v>8</v>
      </c>
      <c r="F55" s="5" t="s">
        <v>6</v>
      </c>
      <c r="G55" s="5" t="s">
        <v>14</v>
      </c>
      <c r="H55" s="5" t="s">
        <v>179</v>
      </c>
      <c r="I55" s="5" t="s">
        <v>182</v>
      </c>
      <c r="J55" s="5" t="s">
        <v>6</v>
      </c>
      <c r="K55" s="5" t="s">
        <v>181</v>
      </c>
      <c r="L55" s="5" t="s">
        <v>201</v>
      </c>
      <c r="M55" s="5" t="s">
        <v>201</v>
      </c>
      <c r="N55" s="5" t="str">
        <f>VLOOKUP(Table1[ST Jira HOS'#], Calc[], 10, FALSE)</f>
        <v>Low</v>
      </c>
      <c r="O55" s="6">
        <f ca="1">TODAY() - VLOOKUP(B55,'Age Data (Hidden)'!$A:$C,3,FALSE)</f>
        <v>401</v>
      </c>
      <c r="P55" s="5" t="s">
        <v>11</v>
      </c>
      <c r="Q55" s="5" t="s">
        <v>255</v>
      </c>
      <c r="R55" s="5" t="s">
        <v>50</v>
      </c>
      <c r="S55" s="5" t="s">
        <v>5</v>
      </c>
    </row>
    <row r="56" spans="1:19" ht="31.2" x14ac:dyDescent="0.3">
      <c r="A56" s="29"/>
      <c r="B56" s="29" t="s">
        <v>160</v>
      </c>
      <c r="C56" s="29" t="s">
        <v>2</v>
      </c>
      <c r="D56" s="5" t="s">
        <v>121</v>
      </c>
      <c r="E56" s="5" t="s">
        <v>123</v>
      </c>
      <c r="F56" s="5" t="s">
        <v>201</v>
      </c>
      <c r="G56" s="5" t="s">
        <v>14</v>
      </c>
      <c r="H56" s="5"/>
      <c r="I56" s="5"/>
      <c r="J56" s="5"/>
      <c r="K56" s="5"/>
      <c r="L56" s="5"/>
      <c r="M56" s="5"/>
      <c r="N56" s="5"/>
      <c r="O56" s="6">
        <f ca="1">TODAY() - VLOOKUP(B56,'Age Data (Hidden)'!$A:$C,3,FALSE)</f>
        <v>413</v>
      </c>
      <c r="P56" s="5"/>
      <c r="Q56" s="5" t="s">
        <v>126</v>
      </c>
      <c r="R56" s="5" t="s">
        <v>126</v>
      </c>
      <c r="S56" s="5" t="s">
        <v>124</v>
      </c>
    </row>
    <row r="57" spans="1:19" ht="171.6" x14ac:dyDescent="0.3">
      <c r="A57" s="144"/>
      <c r="B57" s="32" t="s">
        <v>117</v>
      </c>
      <c r="C57" s="32" t="s">
        <v>2</v>
      </c>
      <c r="D57" s="32" t="s">
        <v>118</v>
      </c>
      <c r="E57" s="32" t="s">
        <v>127</v>
      </c>
      <c r="F57" s="32" t="s">
        <v>201</v>
      </c>
      <c r="G57" s="32" t="s">
        <v>14</v>
      </c>
      <c r="H57" s="5" t="s">
        <v>179</v>
      </c>
      <c r="I57" s="32" t="s">
        <v>181</v>
      </c>
      <c r="J57" s="32" t="s">
        <v>6</v>
      </c>
      <c r="K57" s="32" t="s">
        <v>181</v>
      </c>
      <c r="L57" s="32" t="s">
        <v>6</v>
      </c>
      <c r="M57" s="5" t="s">
        <v>201</v>
      </c>
      <c r="N57" s="32" t="str">
        <f>VLOOKUP(Table1[ST Jira HOS'#], Calc[], 10, FALSE)</f>
        <v>High</v>
      </c>
      <c r="O57" s="6">
        <f ca="1">TODAY() - VLOOKUP(B57,'Age Data (Hidden)'!$A:$C,3,FALSE)</f>
        <v>365</v>
      </c>
      <c r="P57" s="5" t="s">
        <v>303</v>
      </c>
      <c r="Q57" s="5" t="s">
        <v>256</v>
      </c>
      <c r="R57" s="5" t="s">
        <v>54</v>
      </c>
      <c r="S57" s="5"/>
    </row>
    <row r="58" spans="1:19" ht="46.8" x14ac:dyDescent="0.3">
      <c r="A58" s="144"/>
      <c r="B58" s="5" t="s">
        <v>138</v>
      </c>
      <c r="C58" s="24" t="s">
        <v>2</v>
      </c>
      <c r="D58" s="5" t="s">
        <v>145</v>
      </c>
      <c r="E58" s="5" t="s">
        <v>158</v>
      </c>
      <c r="F58" s="5" t="s">
        <v>201</v>
      </c>
      <c r="G58" s="5" t="s">
        <v>14</v>
      </c>
      <c r="H58" s="5" t="s">
        <v>179</v>
      </c>
      <c r="I58" s="5" t="s">
        <v>181</v>
      </c>
      <c r="J58" s="5" t="s">
        <v>6</v>
      </c>
      <c r="K58" s="5" t="s">
        <v>180</v>
      </c>
      <c r="L58" s="5" t="s">
        <v>6</v>
      </c>
      <c r="M58" s="5" t="s">
        <v>201</v>
      </c>
      <c r="N58" s="5" t="str">
        <f>VLOOKUP(Table1[ST Jira HOS'#], Calc[], 10, FALSE)</f>
        <v>Critical</v>
      </c>
      <c r="O58" s="25">
        <f ca="1">TODAY() - VLOOKUP(B58,'Age Data (Hidden)'!$A:$C,3,FALSE)</f>
        <v>155</v>
      </c>
      <c r="P58" s="5" t="s">
        <v>303</v>
      </c>
      <c r="Q58" s="5" t="s">
        <v>246</v>
      </c>
      <c r="R58" s="5" t="s">
        <v>54</v>
      </c>
      <c r="S58" s="24" t="s">
        <v>36</v>
      </c>
    </row>
    <row r="59" spans="1:19" ht="31.2" x14ac:dyDescent="0.3">
      <c r="A59" s="29"/>
      <c r="B59" s="29" t="s">
        <v>332</v>
      </c>
      <c r="C59" s="29" t="s">
        <v>2</v>
      </c>
      <c r="D59" s="5" t="s">
        <v>333</v>
      </c>
      <c r="E59" s="5" t="s">
        <v>334</v>
      </c>
      <c r="F59" s="5" t="s">
        <v>201</v>
      </c>
      <c r="G59" s="5"/>
      <c r="H59" s="5" t="s">
        <v>179</v>
      </c>
      <c r="I59" s="5" t="s">
        <v>180</v>
      </c>
      <c r="J59" s="5" t="s">
        <v>6</v>
      </c>
      <c r="K59" s="5" t="s">
        <v>182</v>
      </c>
      <c r="L59" s="5" t="s">
        <v>6</v>
      </c>
      <c r="M59" s="5" t="s">
        <v>201</v>
      </c>
      <c r="N59" s="5" t="str">
        <f>VLOOKUP(Table1[ST Jira HOS'#], Calc[], 10, FALSE)</f>
        <v>Critical</v>
      </c>
      <c r="O59" s="6">
        <f ca="1">TODAY() - VLOOKUP(B59,'Age Data (Hidden)'!$A:$C,3,FALSE)</f>
        <v>63</v>
      </c>
      <c r="P59" s="5" t="s">
        <v>11</v>
      </c>
      <c r="Q59" s="5" t="s">
        <v>256</v>
      </c>
      <c r="R59" s="5" t="s">
        <v>54</v>
      </c>
      <c r="S59" s="5" t="s">
        <v>157</v>
      </c>
    </row>
    <row r="60" spans="1:19" ht="46.8" x14ac:dyDescent="0.3">
      <c r="A60" s="29"/>
      <c r="B60" s="33" t="s">
        <v>74</v>
      </c>
      <c r="C60" s="32" t="s">
        <v>3</v>
      </c>
      <c r="D60" s="32" t="s">
        <v>77</v>
      </c>
      <c r="E60" s="32" t="s">
        <v>76</v>
      </c>
      <c r="F60" s="32" t="s">
        <v>201</v>
      </c>
      <c r="G60" s="32" t="s">
        <v>14</v>
      </c>
      <c r="H60" s="117"/>
      <c r="I60" s="117"/>
      <c r="J60" s="117"/>
      <c r="K60" s="117"/>
      <c r="L60" s="117"/>
      <c r="M60" s="117"/>
      <c r="N60" s="5"/>
      <c r="O60" s="10">
        <f ca="1">TODAY() - VLOOKUP(B60,'Age Data (Hidden)'!$A:$C,3,FALSE)</f>
        <v>325</v>
      </c>
      <c r="P60" s="5" t="s">
        <v>159</v>
      </c>
      <c r="Q60" s="5" t="s">
        <v>255</v>
      </c>
      <c r="R60" s="5" t="s">
        <v>54</v>
      </c>
      <c r="S60" s="5" t="s">
        <v>5</v>
      </c>
    </row>
    <row r="61" spans="1:19" ht="46.8" x14ac:dyDescent="0.3">
      <c r="A61" s="144"/>
      <c r="B61" s="145" t="s">
        <v>64</v>
      </c>
      <c r="C61" s="145" t="s">
        <v>3</v>
      </c>
      <c r="D61" s="32" t="s">
        <v>399</v>
      </c>
      <c r="E61" s="38" t="s">
        <v>65</v>
      </c>
      <c r="F61" s="32" t="s">
        <v>6</v>
      </c>
      <c r="G61" s="38" t="s">
        <v>14</v>
      </c>
      <c r="H61" s="5" t="s">
        <v>179</v>
      </c>
      <c r="I61" s="38" t="s">
        <v>180</v>
      </c>
      <c r="J61" s="38" t="s">
        <v>6</v>
      </c>
      <c r="K61" s="38" t="s">
        <v>181</v>
      </c>
      <c r="L61" s="38" t="s">
        <v>201</v>
      </c>
      <c r="M61" s="5" t="s">
        <v>201</v>
      </c>
      <c r="N61" s="38" t="str">
        <f>VLOOKUP(Table1[ST Jira HOS'#], Calc[], 10, FALSE)</f>
        <v>Low</v>
      </c>
      <c r="O61" s="12">
        <f ca="1">TODAY() - VLOOKUP(B61,'Age Data (Hidden)'!$A:$C,3,FALSE)</f>
        <v>295</v>
      </c>
      <c r="P61" s="11" t="s">
        <v>11</v>
      </c>
      <c r="Q61" s="5" t="s">
        <v>255</v>
      </c>
      <c r="R61" s="11" t="s">
        <v>54</v>
      </c>
      <c r="S61" s="11" t="s">
        <v>5</v>
      </c>
    </row>
    <row r="62" spans="1:19" ht="31.2" x14ac:dyDescent="0.3">
      <c r="A62" s="144"/>
      <c r="B62" s="146" t="s">
        <v>193</v>
      </c>
      <c r="C62" s="131" t="s">
        <v>3</v>
      </c>
      <c r="D62" s="32" t="s">
        <v>234</v>
      </c>
      <c r="E62" s="32" t="s">
        <v>315</v>
      </c>
      <c r="F62" s="147" t="s">
        <v>6</v>
      </c>
      <c r="G62" s="147"/>
      <c r="H62" s="57" t="s">
        <v>179</v>
      </c>
      <c r="I62" s="57" t="s">
        <v>180</v>
      </c>
      <c r="J62" s="57" t="s">
        <v>6</v>
      </c>
      <c r="K62" s="57" t="s">
        <v>182</v>
      </c>
      <c r="L62" s="57" t="s">
        <v>201</v>
      </c>
      <c r="M62" s="57" t="s">
        <v>201</v>
      </c>
      <c r="N62" s="57" t="str">
        <f>VLOOKUP(Table1[ST Jira HOS'#], Calc[], 10, FALSE)</f>
        <v>Low</v>
      </c>
      <c r="O62" s="58">
        <f ca="1">TODAY() - VLOOKUP(B62,'Age Data (Hidden)'!$A:$C,3,FALSE)</f>
        <v>259</v>
      </c>
      <c r="P62" s="5" t="s">
        <v>11</v>
      </c>
      <c r="Q62" s="5" t="s">
        <v>255</v>
      </c>
      <c r="R62" s="5" t="s">
        <v>54</v>
      </c>
      <c r="S62" s="5" t="s">
        <v>316</v>
      </c>
    </row>
    <row r="63" spans="1:19" ht="31.2" x14ac:dyDescent="0.3">
      <c r="A63" s="144"/>
      <c r="B63" s="131" t="s">
        <v>37</v>
      </c>
      <c r="C63" s="131" t="s">
        <v>3</v>
      </c>
      <c r="D63" s="32" t="s">
        <v>38</v>
      </c>
      <c r="E63" s="32" t="s">
        <v>240</v>
      </c>
      <c r="F63" s="32" t="s">
        <v>201</v>
      </c>
      <c r="G63" s="32" t="s">
        <v>14</v>
      </c>
      <c r="H63" s="5" t="s">
        <v>179</v>
      </c>
      <c r="I63" s="5" t="s">
        <v>182</v>
      </c>
      <c r="J63" s="5" t="s">
        <v>6</v>
      </c>
      <c r="K63" s="5" t="s">
        <v>181</v>
      </c>
      <c r="L63" s="5" t="s">
        <v>201</v>
      </c>
      <c r="M63" s="5" t="s">
        <v>201</v>
      </c>
      <c r="N63" s="5" t="str">
        <f>VLOOKUP(Table1[ST Jira HOS'#], Calc[], 10, FALSE)</f>
        <v>Medium</v>
      </c>
      <c r="O63" s="6">
        <f ca="1">TODAY() - VLOOKUP(B63,'Age Data (Hidden)'!$A:$C,3,FALSE)</f>
        <v>374</v>
      </c>
      <c r="P63" s="5" t="s">
        <v>11</v>
      </c>
      <c r="Q63" s="5" t="s">
        <v>255</v>
      </c>
      <c r="R63" s="5" t="s">
        <v>50</v>
      </c>
      <c r="S63" s="5" t="s">
        <v>5</v>
      </c>
    </row>
    <row r="64" spans="1:19" ht="46.8" x14ac:dyDescent="0.3">
      <c r="A64" s="144"/>
      <c r="B64" s="131" t="s">
        <v>22</v>
      </c>
      <c r="C64" s="131" t="s">
        <v>3</v>
      </c>
      <c r="D64" s="32" t="s">
        <v>23</v>
      </c>
      <c r="E64" s="32" t="s">
        <v>368</v>
      </c>
      <c r="F64" s="32" t="s">
        <v>6</v>
      </c>
      <c r="G64" s="32" t="s">
        <v>14</v>
      </c>
      <c r="H64" s="5" t="s">
        <v>179</v>
      </c>
      <c r="I64" s="5" t="s">
        <v>182</v>
      </c>
      <c r="J64" s="5" t="s">
        <v>6</v>
      </c>
      <c r="K64" s="5" t="s">
        <v>182</v>
      </c>
      <c r="L64" s="5" t="s">
        <v>201</v>
      </c>
      <c r="M64" s="5" t="s">
        <v>201</v>
      </c>
      <c r="N64" s="5" t="str">
        <f>VLOOKUP(Table1[ST Jira HOS'#], Calc[], 10, FALSE)</f>
        <v>Low</v>
      </c>
      <c r="O64" s="6">
        <f ca="1">TODAY() - VLOOKUP(B64,'Age Data (Hidden)'!$A:$C,3,FALSE)</f>
        <v>374</v>
      </c>
      <c r="P64" s="5" t="s">
        <v>11</v>
      </c>
      <c r="Q64" s="5" t="s">
        <v>255</v>
      </c>
      <c r="R64" s="5" t="s">
        <v>54</v>
      </c>
      <c r="S64" s="5" t="s">
        <v>5</v>
      </c>
    </row>
    <row r="65" spans="1:19" ht="31.2" x14ac:dyDescent="0.3">
      <c r="A65" s="141"/>
      <c r="B65" s="32" t="s">
        <v>60</v>
      </c>
      <c r="C65" s="32" t="s">
        <v>3</v>
      </c>
      <c r="D65" s="32" t="s">
        <v>58</v>
      </c>
      <c r="E65" s="32" t="s">
        <v>78</v>
      </c>
      <c r="F65" s="54" t="s">
        <v>201</v>
      </c>
      <c r="G65" s="54" t="s">
        <v>14</v>
      </c>
      <c r="H65" s="117"/>
      <c r="I65" s="117"/>
      <c r="J65" s="117"/>
      <c r="K65" s="117"/>
      <c r="L65" s="117"/>
      <c r="M65" s="117"/>
      <c r="N65" s="4"/>
      <c r="O65" s="7">
        <f ca="1">TODAY() - VLOOKUP(B65,'Age Data (Hidden)'!$A:$C,3,FALSE)</f>
        <v>317</v>
      </c>
      <c r="P65" s="5" t="s">
        <v>305</v>
      </c>
      <c r="Q65" s="5" t="s">
        <v>255</v>
      </c>
      <c r="R65" s="4" t="s">
        <v>52</v>
      </c>
      <c r="S65" s="4" t="s">
        <v>18</v>
      </c>
    </row>
    <row r="66" spans="1:19" ht="31.2" x14ac:dyDescent="0.3">
      <c r="A66" s="130"/>
      <c r="B66" s="130" t="s">
        <v>312</v>
      </c>
      <c r="C66" s="130" t="s">
        <v>2</v>
      </c>
      <c r="D66" s="128" t="s">
        <v>314</v>
      </c>
      <c r="E66" s="128"/>
      <c r="F66" s="128"/>
      <c r="G66" s="128"/>
      <c r="H66" s="128"/>
      <c r="I66" s="128"/>
      <c r="J66" s="128"/>
      <c r="K66" s="128"/>
      <c r="L66" s="128"/>
      <c r="M66" s="128"/>
      <c r="N66" s="128" t="str">
        <f>VLOOKUP(Table1[ST Jira HOS'#], Calc[], 10, FALSE)</f>
        <v>Very Low</v>
      </c>
      <c r="O66" s="129" t="e">
        <f ca="1">TODAY() - VLOOKUP(B66,'Age Data (Hidden)'!$A:$C,3,FALSE)</f>
        <v>#N/A</v>
      </c>
      <c r="P66" s="5" t="s">
        <v>304</v>
      </c>
      <c r="Q66" s="128"/>
      <c r="R66" s="128"/>
      <c r="S66" s="128"/>
    </row>
    <row r="67" spans="1:19" ht="31.2" x14ac:dyDescent="0.3">
      <c r="A67" s="29"/>
      <c r="B67" s="29" t="s">
        <v>373</v>
      </c>
      <c r="C67" s="29" t="s">
        <v>3</v>
      </c>
      <c r="D67" s="5" t="s">
        <v>380</v>
      </c>
      <c r="E67" s="5" t="s">
        <v>380</v>
      </c>
      <c r="F67" s="5"/>
      <c r="G67" s="5"/>
      <c r="H67" s="5"/>
      <c r="I67" s="5"/>
      <c r="J67" s="5"/>
      <c r="K67" s="5"/>
      <c r="L67" s="5"/>
      <c r="M67" s="5"/>
      <c r="N67" s="5" t="str">
        <f>VLOOKUP(Table1[ST Jira HOS'#], Calc[], 10, FALSE)</f>
        <v>Very Low</v>
      </c>
      <c r="O67" s="6">
        <f ca="1">TODAY() - VLOOKUP(B67,'Age Data (Hidden)'!$A:$C,3,FALSE)</f>
        <v>889</v>
      </c>
      <c r="P67" s="5" t="s">
        <v>11</v>
      </c>
      <c r="Q67" s="5" t="s">
        <v>255</v>
      </c>
      <c r="R67" s="5" t="s">
        <v>374</v>
      </c>
      <c r="S67" s="5" t="s">
        <v>36</v>
      </c>
    </row>
    <row r="68" spans="1:19" ht="31.2" hidden="1" x14ac:dyDescent="0.3">
      <c r="A68" s="169"/>
      <c r="B68" s="169" t="s">
        <v>382</v>
      </c>
      <c r="C68" s="29" t="s">
        <v>3</v>
      </c>
      <c r="D68" s="167"/>
      <c r="E68" s="167"/>
      <c r="F68" s="167"/>
      <c r="G68" s="167"/>
      <c r="H68" s="167"/>
      <c r="I68" s="167"/>
      <c r="J68" s="167"/>
      <c r="K68" s="167"/>
      <c r="L68" s="167"/>
      <c r="M68" s="167"/>
      <c r="N68" s="167" t="str">
        <f>VLOOKUP(Table1[ST Jira HOS'#], Calc[], 10, FALSE)</f>
        <v>Very Low</v>
      </c>
      <c r="O68" s="168">
        <f ca="1">TODAY() - VLOOKUP(B68,'Age Data (Hidden)'!$A:$C,3,FALSE)</f>
        <v>59</v>
      </c>
      <c r="P68" s="5" t="s">
        <v>11</v>
      </c>
      <c r="Q68" s="167" t="s">
        <v>256</v>
      </c>
      <c r="R68" s="5" t="s">
        <v>54</v>
      </c>
      <c r="S68" s="167"/>
    </row>
    <row r="69" spans="1:19" ht="31.2" hidden="1" x14ac:dyDescent="0.3">
      <c r="A69" s="29"/>
      <c r="B69" s="29" t="s">
        <v>388</v>
      </c>
      <c r="C69" s="29"/>
      <c r="D69" s="5" t="s">
        <v>397</v>
      </c>
      <c r="E69" s="5"/>
      <c r="F69" s="5"/>
      <c r="G69" s="5"/>
      <c r="H69" s="5"/>
      <c r="I69" s="5"/>
      <c r="J69" s="5"/>
      <c r="K69" s="5"/>
      <c r="L69" s="5"/>
      <c r="M69" s="5"/>
      <c r="N69" s="5"/>
      <c r="O69" s="6" t="e">
        <f ca="1">TODAY() - VLOOKUP(B69,'Age Data (Hidden)'!$A:$C,3,FALSE)</f>
        <v>#N/A</v>
      </c>
      <c r="P69" s="5"/>
      <c r="Q69" s="5"/>
      <c r="R69" s="5"/>
      <c r="S69" s="5"/>
    </row>
    <row r="70" spans="1:19" ht="31.2" hidden="1" x14ac:dyDescent="0.3">
      <c r="A70" s="172"/>
      <c r="B70" s="172" t="s">
        <v>389</v>
      </c>
      <c r="C70" s="172"/>
      <c r="D70" s="5" t="s">
        <v>393</v>
      </c>
      <c r="E70" s="170"/>
      <c r="F70" s="170"/>
      <c r="G70" s="170"/>
      <c r="H70" s="170"/>
      <c r="I70" s="170"/>
      <c r="J70" s="170"/>
      <c r="K70" s="170"/>
      <c r="L70" s="170"/>
      <c r="M70" s="170"/>
      <c r="N70" s="170" t="str">
        <f>VLOOKUP(Table1[ST Jira HOS'#], Calc[], 10, FALSE)</f>
        <v>Very Low</v>
      </c>
      <c r="O70" s="171" t="e">
        <f ca="1">TODAY() - VLOOKUP(B70,'Age Data (Hidden)'!$A:$C,3,FALSE)</f>
        <v>#N/A</v>
      </c>
      <c r="P70" s="170"/>
      <c r="Q70" s="170"/>
      <c r="R70" s="170"/>
      <c r="S70" s="170"/>
    </row>
    <row r="71" spans="1:19" ht="31.2" hidden="1" x14ac:dyDescent="0.3">
      <c r="A71" s="172"/>
      <c r="B71" s="172" t="s">
        <v>390</v>
      </c>
      <c r="C71" s="172"/>
      <c r="D71" s="5" t="s">
        <v>396</v>
      </c>
      <c r="E71" s="170"/>
      <c r="F71" s="170"/>
      <c r="G71" s="170"/>
      <c r="H71" s="170"/>
      <c r="I71" s="170"/>
      <c r="J71" s="170"/>
      <c r="K71" s="170"/>
      <c r="L71" s="170"/>
      <c r="M71" s="170"/>
      <c r="N71" s="170" t="str">
        <f>VLOOKUP(Table1[ST Jira HOS'#], Calc[], 10, FALSE)</f>
        <v>Very Low</v>
      </c>
      <c r="O71" s="171" t="e">
        <f ca="1">TODAY() - VLOOKUP(B71,'Age Data (Hidden)'!$A:$C,3,FALSE)</f>
        <v>#N/A</v>
      </c>
      <c r="P71" s="170"/>
      <c r="Q71" s="170"/>
      <c r="R71" s="170"/>
      <c r="S71" s="170"/>
    </row>
    <row r="72" spans="1:19" ht="31.2" hidden="1" x14ac:dyDescent="0.3">
      <c r="A72" s="172"/>
      <c r="B72" s="29" t="s">
        <v>391</v>
      </c>
      <c r="C72" s="172"/>
      <c r="D72" s="5" t="s">
        <v>394</v>
      </c>
      <c r="E72" s="170"/>
      <c r="F72" s="170"/>
      <c r="G72" s="170"/>
      <c r="H72" s="170"/>
      <c r="I72" s="170"/>
      <c r="J72" s="170"/>
      <c r="K72" s="170"/>
      <c r="L72" s="170"/>
      <c r="M72" s="170"/>
      <c r="N72" s="170" t="str">
        <f>VLOOKUP(Table1[ST Jira HOS'#], Calc[], 10, FALSE)</f>
        <v>Very Low</v>
      </c>
      <c r="O72" s="171" t="e">
        <f ca="1">TODAY() - VLOOKUP(B72,'Age Data (Hidden)'!$A:$C,3,FALSE)</f>
        <v>#N/A</v>
      </c>
      <c r="P72" s="170"/>
      <c r="Q72" s="170"/>
      <c r="R72" s="170"/>
      <c r="S72" s="170"/>
    </row>
    <row r="73" spans="1:19" ht="31.2" hidden="1" x14ac:dyDescent="0.3">
      <c r="A73" s="172"/>
      <c r="B73" s="172" t="s">
        <v>392</v>
      </c>
      <c r="C73" s="172"/>
      <c r="D73" s="5" t="s">
        <v>395</v>
      </c>
      <c r="E73" s="170"/>
      <c r="F73" s="170"/>
      <c r="G73" s="170"/>
      <c r="H73" s="170"/>
      <c r="I73" s="170"/>
      <c r="J73" s="170"/>
      <c r="K73" s="170"/>
      <c r="L73" s="170"/>
      <c r="M73" s="170"/>
      <c r="N73" s="170" t="str">
        <f>VLOOKUP(Table1[ST Jira HOS'#], Calc[], 10, FALSE)</f>
        <v>Very Low</v>
      </c>
      <c r="O73" s="171" t="e">
        <f ca="1">TODAY() - VLOOKUP(B73,'Age Data (Hidden)'!$A:$C,3,FALSE)</f>
        <v>#N/A</v>
      </c>
      <c r="P73" s="170"/>
      <c r="Q73" s="170"/>
      <c r="R73" s="170"/>
      <c r="S73" s="170"/>
    </row>
    <row r="74" spans="1:19" ht="31.2" x14ac:dyDescent="0.3">
      <c r="A74" s="163"/>
      <c r="B74" s="29" t="s">
        <v>376</v>
      </c>
      <c r="C74" s="29" t="s">
        <v>3</v>
      </c>
      <c r="D74" s="5" t="s">
        <v>379</v>
      </c>
      <c r="E74" s="161"/>
      <c r="F74" s="161"/>
      <c r="G74" s="161"/>
      <c r="H74" s="161"/>
      <c r="I74" s="161"/>
      <c r="J74" s="161"/>
      <c r="K74" s="161"/>
      <c r="L74" s="161"/>
      <c r="M74" s="161"/>
      <c r="N74" s="161" t="str">
        <f>VLOOKUP(Table1[ST Jira HOS'#], Calc[], 10, FALSE)</f>
        <v>Very Low</v>
      </c>
      <c r="O74" s="162">
        <f ca="1">TODAY() - VLOOKUP(B74,'Age Data (Hidden)'!$A:$C,3,FALSE)</f>
        <v>889</v>
      </c>
      <c r="P74" s="5" t="s">
        <v>11</v>
      </c>
      <c r="Q74" s="5" t="s">
        <v>255</v>
      </c>
      <c r="R74" s="5" t="s">
        <v>374</v>
      </c>
      <c r="S74" s="5"/>
    </row>
    <row r="75" spans="1:19" ht="31.2" x14ac:dyDescent="0.3">
      <c r="A75" s="189"/>
      <c r="B75" s="189" t="s">
        <v>402</v>
      </c>
      <c r="C75" s="29" t="s">
        <v>3</v>
      </c>
      <c r="D75" s="187" t="s">
        <v>403</v>
      </c>
      <c r="E75" s="187"/>
      <c r="F75" s="187"/>
      <c r="G75" s="187"/>
      <c r="H75" s="187"/>
      <c r="I75" s="187"/>
      <c r="J75" s="187"/>
      <c r="K75" s="187"/>
      <c r="L75" s="187"/>
      <c r="M75" s="187"/>
      <c r="N75" s="187" t="str">
        <f>VLOOKUP(Table1[ST Jira HOS'#], Calc[], 10, FALSE)</f>
        <v>Very Low</v>
      </c>
      <c r="O75" s="188">
        <f ca="1">TODAY() - VLOOKUP(B75,'Age Data (Hidden)'!$A:$C,3,FALSE)</f>
        <v>45</v>
      </c>
      <c r="P75" s="187"/>
      <c r="Q75" s="187"/>
      <c r="R75" s="187"/>
      <c r="S75" s="187"/>
    </row>
  </sheetData>
  <sheetProtection sort="0" autoFilter="0" pivotTables="0"/>
  <dataConsolidate/>
  <mergeCells count="4">
    <mergeCell ref="A1:E1"/>
    <mergeCell ref="A2:F2"/>
    <mergeCell ref="A3:F3"/>
    <mergeCell ref="A4:F4"/>
  </mergeCells>
  <pageMargins left="0.25" right="0.25" top="0.75" bottom="0.75" header="0.3" footer="0.3"/>
  <pageSetup scale="74" orientation="landscape" r:id="rId1"/>
  <legacyDrawing r:id="rId2"/>
  <tableParts count="1">
    <tablePart r:id="rId3"/>
  </tableParts>
  <extLst>
    <ext xmlns:x14="http://schemas.microsoft.com/office/spreadsheetml/2009/9/main" uri="{CCE6A557-97BC-4b89-ADB6-D9C93CAAB3DF}">
      <x14:dataValidations xmlns:xm="http://schemas.microsoft.com/office/excel/2006/main" count="9">
        <x14:dataValidation type="list" allowBlank="1" showInputMessage="1" showErrorMessage="1">
          <x14:formula1>
            <xm:f>'Prioritization Scoring Weights'!$A$7:$A$9</xm:f>
          </x14:formula1>
          <xm:sqref>H7:H75</xm:sqref>
        </x14:dataValidation>
        <x14:dataValidation type="list" allowBlank="1" showInputMessage="1" showErrorMessage="1">
          <x14:formula1>
            <xm:f>'Prioritization Scoring Weights'!$A$3:$A$4</xm:f>
          </x14:formula1>
          <xm:sqref>F7:F1048576</xm:sqref>
        </x14:dataValidation>
        <x14:dataValidation type="list" allowBlank="1" showInputMessage="1" showErrorMessage="1">
          <x14:formula1>
            <xm:f>'Prioritization Scoring Weights'!$A$12:$A$14</xm:f>
          </x14:formula1>
          <xm:sqref>I7:I1048576</xm:sqref>
        </x14:dataValidation>
        <x14:dataValidation type="list" allowBlank="1" showInputMessage="1" showErrorMessage="1">
          <x14:formula1>
            <xm:f>'Prioritization Scoring Weights'!$A$20:$A$22</xm:f>
          </x14:formula1>
          <xm:sqref>K7:K1048576</xm:sqref>
        </x14:dataValidation>
        <x14:dataValidation type="list" allowBlank="1" showInputMessage="1" showErrorMessage="1">
          <x14:formula1>
            <xm:f>'Data Validation'!$D$3:$D$5</xm:f>
          </x14:formula1>
          <xm:sqref>C7:C1048576</xm:sqref>
        </x14:dataValidation>
        <x14:dataValidation type="list" allowBlank="1" showInputMessage="1" showErrorMessage="1">
          <x14:formula1>
            <xm:f>'Prioritization Scoring Weights'!$A$25:$A$26</xm:f>
          </x14:formula1>
          <xm:sqref>L7:L1048576</xm:sqref>
        </x14:dataValidation>
        <x14:dataValidation type="list" allowBlank="1" showInputMessage="1" showErrorMessage="1">
          <x14:formula1>
            <xm:f>'Prioritization Scoring Weights'!$A$28:$A$29</xm:f>
          </x14:formula1>
          <xm:sqref>M7:M1048576</xm:sqref>
        </x14:dataValidation>
        <x14:dataValidation type="list" allowBlank="1" showInputMessage="1" showErrorMessage="1">
          <x14:formula1>
            <xm:f>'Prioritization Scoring Weights'!$A$17:$A$18</xm:f>
          </x14:formula1>
          <xm:sqref>J7:J1048576</xm:sqref>
        </x14:dataValidation>
        <x14:dataValidation type="list" allowBlank="1" showInputMessage="1" showErrorMessage="1">
          <x14:formula1>
            <xm:f>'Data Validation'!$E$3:$E$7</xm:f>
          </x14:formula1>
          <xm:sqref>Q7:Q1048576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17"/>
  <sheetViews>
    <sheetView showGridLines="0" workbookViewId="0">
      <selection activeCell="B31" sqref="B31"/>
    </sheetView>
  </sheetViews>
  <sheetFormatPr defaultRowHeight="14.4" x14ac:dyDescent="0.3"/>
  <cols>
    <col min="1" max="1" width="22.44140625" bestFit="1" customWidth="1"/>
    <col min="2" max="2" width="94" bestFit="1" customWidth="1"/>
  </cols>
  <sheetData>
    <row r="1" spans="1:2" ht="15" thickBot="1" x14ac:dyDescent="0.35">
      <c r="A1" s="115" t="s">
        <v>279</v>
      </c>
      <c r="B1" s="116" t="s">
        <v>278</v>
      </c>
    </row>
    <row r="2" spans="1:2" ht="15" thickBot="1" x14ac:dyDescent="0.35">
      <c r="A2" s="202" t="s">
        <v>286</v>
      </c>
      <c r="B2" s="203"/>
    </row>
    <row r="3" spans="1:2" x14ac:dyDescent="0.3">
      <c r="A3" s="106" t="s">
        <v>21</v>
      </c>
      <c r="B3" s="107" t="s">
        <v>274</v>
      </c>
    </row>
    <row r="4" spans="1:2" x14ac:dyDescent="0.3">
      <c r="A4" s="108" t="s">
        <v>194</v>
      </c>
      <c r="B4" s="109" t="s">
        <v>273</v>
      </c>
    </row>
    <row r="5" spans="1:2" x14ac:dyDescent="0.3">
      <c r="A5" s="108" t="s">
        <v>184</v>
      </c>
      <c r="B5" s="109" t="s">
        <v>275</v>
      </c>
    </row>
    <row r="6" spans="1:2" x14ac:dyDescent="0.3">
      <c r="A6" s="108" t="s">
        <v>185</v>
      </c>
      <c r="B6" s="109" t="s">
        <v>276</v>
      </c>
    </row>
    <row r="7" spans="1:2" x14ac:dyDescent="0.3">
      <c r="A7" s="108" t="s">
        <v>186</v>
      </c>
      <c r="B7" s="109" t="s">
        <v>277</v>
      </c>
    </row>
    <row r="8" spans="1:2" x14ac:dyDescent="0.3">
      <c r="A8" s="108" t="s">
        <v>196</v>
      </c>
      <c r="B8" s="109" t="s">
        <v>290</v>
      </c>
    </row>
    <row r="9" spans="1:2" ht="15" thickBot="1" x14ac:dyDescent="0.35">
      <c r="A9" s="110" t="s">
        <v>198</v>
      </c>
      <c r="B9" s="111" t="s">
        <v>281</v>
      </c>
    </row>
    <row r="10" spans="1:2" ht="15" thickBot="1" x14ac:dyDescent="0.35">
      <c r="A10" s="202" t="s">
        <v>10</v>
      </c>
      <c r="B10" s="203"/>
    </row>
    <row r="11" spans="1:2" x14ac:dyDescent="0.3">
      <c r="A11" s="106" t="s">
        <v>280</v>
      </c>
      <c r="B11" s="107" t="s">
        <v>284</v>
      </c>
    </row>
    <row r="12" spans="1:2" x14ac:dyDescent="0.3">
      <c r="A12" s="108" t="s">
        <v>97</v>
      </c>
      <c r="B12" s="109" t="s">
        <v>285</v>
      </c>
    </row>
    <row r="13" spans="1:2" x14ac:dyDescent="0.3">
      <c r="A13" s="108" t="s">
        <v>149</v>
      </c>
      <c r="B13" s="109" t="s">
        <v>289</v>
      </c>
    </row>
    <row r="14" spans="1:2" x14ac:dyDescent="0.3">
      <c r="A14" s="108" t="s">
        <v>159</v>
      </c>
      <c r="B14" s="109" t="s">
        <v>288</v>
      </c>
    </row>
    <row r="15" spans="1:2" x14ac:dyDescent="0.3">
      <c r="A15" s="108" t="s">
        <v>122</v>
      </c>
      <c r="B15" s="109" t="s">
        <v>282</v>
      </c>
    </row>
    <row r="16" spans="1:2" x14ac:dyDescent="0.3">
      <c r="A16" s="108" t="s">
        <v>91</v>
      </c>
      <c r="B16" s="109" t="s">
        <v>283</v>
      </c>
    </row>
    <row r="17" spans="1:2" ht="15" thickBot="1" x14ac:dyDescent="0.35">
      <c r="A17" s="112" t="s">
        <v>152</v>
      </c>
      <c r="B17" s="114" t="s">
        <v>287</v>
      </c>
    </row>
  </sheetData>
  <sheetProtection algorithmName="SHA-512" hashValue="xhv6ZMaopYxiZuBgdi1a/4Y6WpGunX3hKC32N6pJIbXjHLzJkFaYagibNPF3aokA3jBLc/SQvvDApRK1Qb80jQ==" saltValue="yz9QLN+7uY+58Qt7pOgTaw==" spinCount="100000" sheet="1" objects="1" scenarios="1"/>
  <mergeCells count="2">
    <mergeCell ref="A2:B2"/>
    <mergeCell ref="A10:B10"/>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workbookViewId="0">
      <selection activeCell="L18" sqref="L18"/>
    </sheetView>
  </sheetViews>
  <sheetFormatPr defaultRowHeight="14.4" x14ac:dyDescent="0.3"/>
  <cols>
    <col min="1" max="1" width="10.109375" bestFit="1" customWidth="1"/>
    <col min="2" max="2" width="12" bestFit="1" customWidth="1"/>
    <col min="3" max="3" width="7.88671875" bestFit="1" customWidth="1"/>
    <col min="4" max="4" width="8.6640625" bestFit="1" customWidth="1"/>
    <col min="5" max="5" width="19.5546875" bestFit="1" customWidth="1"/>
    <col min="6" max="6" width="19.88671875" bestFit="1" customWidth="1"/>
  </cols>
  <sheetData>
    <row r="1" spans="1:6" x14ac:dyDescent="0.3">
      <c r="A1" s="181" t="s">
        <v>66</v>
      </c>
      <c r="B1" s="182" t="s">
        <v>59</v>
      </c>
      <c r="C1" s="182" t="s">
        <v>136</v>
      </c>
      <c r="D1" s="182" t="s">
        <v>219</v>
      </c>
      <c r="E1" s="182" t="s">
        <v>227</v>
      </c>
      <c r="F1" s="182" t="s">
        <v>224</v>
      </c>
    </row>
    <row r="2" spans="1:6" x14ac:dyDescent="0.3">
      <c r="A2" s="176" t="s">
        <v>9</v>
      </c>
      <c r="B2" s="177">
        <v>42458</v>
      </c>
      <c r="C2" s="178"/>
      <c r="D2" s="178" t="s">
        <v>222</v>
      </c>
      <c r="E2" s="179" t="s">
        <v>228</v>
      </c>
      <c r="F2" s="177">
        <v>42579</v>
      </c>
    </row>
    <row r="3" spans="1:6" x14ac:dyDescent="0.3">
      <c r="A3" s="173" t="s">
        <v>12</v>
      </c>
      <c r="B3" s="174">
        <v>42438</v>
      </c>
      <c r="C3" s="175"/>
      <c r="D3" s="175" t="s">
        <v>222</v>
      </c>
      <c r="E3" s="180" t="s">
        <v>228</v>
      </c>
      <c r="F3" s="174">
        <v>42579</v>
      </c>
    </row>
    <row r="4" spans="1:6" x14ac:dyDescent="0.3">
      <c r="A4" s="176" t="s">
        <v>16</v>
      </c>
      <c r="B4" s="177">
        <v>42318</v>
      </c>
      <c r="C4" s="178"/>
      <c r="D4" s="178" t="s">
        <v>222</v>
      </c>
      <c r="E4" s="178" t="s">
        <v>113</v>
      </c>
      <c r="F4" s="177">
        <v>42684</v>
      </c>
    </row>
    <row r="5" spans="1:6" x14ac:dyDescent="0.3">
      <c r="A5" s="173" t="s">
        <v>41</v>
      </c>
      <c r="B5" s="174">
        <v>42460</v>
      </c>
      <c r="C5" s="175"/>
      <c r="D5" s="175" t="s">
        <v>222</v>
      </c>
      <c r="E5" s="175" t="s">
        <v>113</v>
      </c>
      <c r="F5" s="174">
        <v>42684</v>
      </c>
    </row>
    <row r="6" spans="1:6" x14ac:dyDescent="0.3">
      <c r="A6" s="176" t="s">
        <v>17</v>
      </c>
      <c r="B6" s="177">
        <v>42292</v>
      </c>
      <c r="C6" s="178"/>
      <c r="D6" s="178" t="s">
        <v>222</v>
      </c>
      <c r="E6" s="178" t="s">
        <v>113</v>
      </c>
      <c r="F6" s="177">
        <v>42684</v>
      </c>
    </row>
    <row r="7" spans="1:6" x14ac:dyDescent="0.3">
      <c r="A7" s="173" t="s">
        <v>25</v>
      </c>
      <c r="B7" s="174">
        <v>42443</v>
      </c>
      <c r="C7" s="175"/>
      <c r="D7" s="175" t="s">
        <v>222</v>
      </c>
      <c r="E7" s="175" t="s">
        <v>358</v>
      </c>
      <c r="F7" s="174">
        <v>42768</v>
      </c>
    </row>
    <row r="8" spans="1:6" x14ac:dyDescent="0.3">
      <c r="A8" s="176" t="s">
        <v>29</v>
      </c>
      <c r="B8" s="177">
        <v>42278</v>
      </c>
      <c r="C8" s="178"/>
      <c r="D8" s="178" t="s">
        <v>222</v>
      </c>
      <c r="E8" s="178" t="s">
        <v>358</v>
      </c>
      <c r="F8" s="177">
        <v>42768</v>
      </c>
    </row>
    <row r="9" spans="1:6" x14ac:dyDescent="0.3">
      <c r="A9" s="173" t="s">
        <v>42</v>
      </c>
      <c r="B9" s="174">
        <v>42478</v>
      </c>
      <c r="C9" s="175"/>
      <c r="D9" s="175" t="s">
        <v>222</v>
      </c>
      <c r="E9" s="180" t="s">
        <v>228</v>
      </c>
      <c r="F9" s="174">
        <v>42579</v>
      </c>
    </row>
    <row r="10" spans="1:6" x14ac:dyDescent="0.3">
      <c r="A10" s="176" t="s">
        <v>43</v>
      </c>
      <c r="B10" s="177">
        <v>42480</v>
      </c>
      <c r="C10" s="178"/>
      <c r="D10" s="178" t="s">
        <v>222</v>
      </c>
      <c r="E10" s="178" t="s">
        <v>113</v>
      </c>
      <c r="F10" s="177">
        <v>42684</v>
      </c>
    </row>
    <row r="11" spans="1:6" x14ac:dyDescent="0.3">
      <c r="A11" s="173" t="s">
        <v>69</v>
      </c>
      <c r="B11" s="174">
        <v>42481</v>
      </c>
      <c r="C11" s="175"/>
      <c r="D11" s="175" t="s">
        <v>222</v>
      </c>
      <c r="E11" s="175" t="s">
        <v>114</v>
      </c>
      <c r="F11" s="174">
        <v>42670</v>
      </c>
    </row>
    <row r="12" spans="1:6" x14ac:dyDescent="0.3">
      <c r="A12" s="176" t="s">
        <v>56</v>
      </c>
      <c r="B12" s="177">
        <v>42482</v>
      </c>
      <c r="C12" s="178"/>
      <c r="D12" s="178" t="s">
        <v>222</v>
      </c>
      <c r="E12" s="178" t="s">
        <v>291</v>
      </c>
      <c r="F12" s="177">
        <v>42702</v>
      </c>
    </row>
    <row r="13" spans="1:6" x14ac:dyDescent="0.3">
      <c r="A13" s="173" t="s">
        <v>61</v>
      </c>
      <c r="B13" s="174">
        <v>42447</v>
      </c>
      <c r="C13" s="175"/>
      <c r="D13" s="175" t="s">
        <v>222</v>
      </c>
      <c r="E13" s="175" t="s">
        <v>114</v>
      </c>
      <c r="F13" s="174">
        <v>42670</v>
      </c>
    </row>
    <row r="14" spans="1:6" x14ac:dyDescent="0.3">
      <c r="A14" s="176" t="s">
        <v>63</v>
      </c>
      <c r="B14" s="177">
        <v>42478</v>
      </c>
      <c r="C14" s="178"/>
      <c r="D14" s="178" t="s">
        <v>222</v>
      </c>
      <c r="E14" s="179" t="s">
        <v>229</v>
      </c>
      <c r="F14" s="177">
        <v>42607</v>
      </c>
    </row>
    <row r="15" spans="1:6" x14ac:dyDescent="0.3">
      <c r="A15" s="173" t="s">
        <v>67</v>
      </c>
      <c r="B15" s="174">
        <v>42439</v>
      </c>
      <c r="C15" s="175"/>
      <c r="D15" s="175" t="s">
        <v>222</v>
      </c>
      <c r="E15" s="175" t="s">
        <v>113</v>
      </c>
      <c r="F15" s="174">
        <v>42684</v>
      </c>
    </row>
    <row r="16" spans="1:6" x14ac:dyDescent="0.3">
      <c r="A16" s="176" t="s">
        <v>71</v>
      </c>
      <c r="B16" s="177">
        <v>42500</v>
      </c>
      <c r="C16" s="178"/>
      <c r="D16" s="178" t="s">
        <v>222</v>
      </c>
      <c r="E16" s="179" t="s">
        <v>230</v>
      </c>
      <c r="F16" s="177">
        <v>42571</v>
      </c>
    </row>
    <row r="17" spans="1:6" x14ac:dyDescent="0.3">
      <c r="A17" s="173" t="s">
        <v>90</v>
      </c>
      <c r="B17" s="174">
        <v>41901</v>
      </c>
      <c r="C17" s="175"/>
      <c r="D17" s="175" t="s">
        <v>222</v>
      </c>
      <c r="E17" s="175" t="s">
        <v>114</v>
      </c>
      <c r="F17" s="174">
        <v>42670</v>
      </c>
    </row>
    <row r="18" spans="1:6" x14ac:dyDescent="0.3">
      <c r="A18" s="176" t="s">
        <v>99</v>
      </c>
      <c r="B18" s="177">
        <v>42521</v>
      </c>
      <c r="C18" s="178"/>
      <c r="D18" s="178" t="s">
        <v>222</v>
      </c>
      <c r="E18" s="179" t="s">
        <v>228</v>
      </c>
      <c r="F18" s="177">
        <v>42579</v>
      </c>
    </row>
    <row r="19" spans="1:6" x14ac:dyDescent="0.3">
      <c r="A19" s="173" t="s">
        <v>103</v>
      </c>
      <c r="B19" s="174">
        <v>42515</v>
      </c>
      <c r="C19" s="175"/>
      <c r="D19" s="175" t="s">
        <v>222</v>
      </c>
      <c r="E19" s="180" t="s">
        <v>228</v>
      </c>
      <c r="F19" s="174">
        <v>42579</v>
      </c>
    </row>
    <row r="20" spans="1:6" x14ac:dyDescent="0.3">
      <c r="A20" s="183" t="s">
        <v>144</v>
      </c>
      <c r="B20" s="184">
        <v>42622</v>
      </c>
      <c r="C20" s="185">
        <v>36908</v>
      </c>
      <c r="D20" s="186" t="s">
        <v>222</v>
      </c>
      <c r="E20" s="186" t="s">
        <v>305</v>
      </c>
      <c r="F20" s="184">
        <v>42719</v>
      </c>
    </row>
    <row r="21" spans="1:6" x14ac:dyDescent="0.3">
      <c r="A21" s="173" t="s">
        <v>137</v>
      </c>
      <c r="B21" s="174"/>
      <c r="C21" s="175"/>
      <c r="D21" s="175" t="s">
        <v>222</v>
      </c>
      <c r="E21" s="180" t="s">
        <v>231</v>
      </c>
      <c r="F21" s="174">
        <v>42654</v>
      </c>
    </row>
    <row r="22" spans="1:6" x14ac:dyDescent="0.3">
      <c r="A22" s="176" t="s">
        <v>125</v>
      </c>
      <c r="B22" s="177"/>
      <c r="C22" s="178"/>
      <c r="D22" s="178" t="s">
        <v>222</v>
      </c>
      <c r="E22" s="179" t="s">
        <v>232</v>
      </c>
      <c r="F22" s="177">
        <v>42628</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'Data Validation'!$C$3:$C$5</xm:f>
          </x14:formula1>
          <xm:sqref>D2:D22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75"/>
  <sheetViews>
    <sheetView topLeftCell="A50" workbookViewId="0">
      <selection activeCell="E72" sqref="E72"/>
    </sheetView>
  </sheetViews>
  <sheetFormatPr defaultRowHeight="14.4" x14ac:dyDescent="0.3"/>
  <cols>
    <col min="1" max="1" width="13.109375" customWidth="1"/>
    <col min="2" max="2" width="9.109375" customWidth="1"/>
    <col min="3" max="3" width="11.21875" customWidth="1"/>
    <col min="4" max="4" width="8.6640625" customWidth="1"/>
    <col min="5" max="5" width="10.44140625" customWidth="1"/>
    <col min="6" max="6" width="13" customWidth="1"/>
    <col min="8" max="8" width="10.77734375" bestFit="1" customWidth="1"/>
  </cols>
  <sheetData>
    <row r="1" spans="1:10" s="48" customFormat="1" ht="43.2" x14ac:dyDescent="0.3">
      <c r="A1" s="48" t="s">
        <v>47</v>
      </c>
      <c r="B1" s="48" t="s">
        <v>21</v>
      </c>
      <c r="C1" s="48" t="s">
        <v>176</v>
      </c>
      <c r="D1" s="48" t="s">
        <v>184</v>
      </c>
      <c r="E1" s="48" t="s">
        <v>185</v>
      </c>
      <c r="F1" s="48" t="s">
        <v>186</v>
      </c>
      <c r="G1" s="48" t="s">
        <v>196</v>
      </c>
      <c r="H1" s="48" t="s">
        <v>198</v>
      </c>
      <c r="I1" s="48" t="s">
        <v>190</v>
      </c>
      <c r="J1" s="48" t="s">
        <v>192</v>
      </c>
    </row>
    <row r="2" spans="1:10" x14ac:dyDescent="0.3">
      <c r="A2" t="str">
        <f>'Open Defects'!B7</f>
        <v>HOS-10525</v>
      </c>
      <c r="B2">
        <f>IF(COUNTIFS(Table1[ST Jira HOS'#],A2,Table1[Work around?], 'Prioritization Scoring Weights'!$A$3), 'Prioritization Scoring Weights'!$C$3,0)</f>
        <v>4</v>
      </c>
      <c r="C2">
        <f>IF(COUNTIFS(Table1[ST Jira HOS'#],A2, Table1[Number of properties], 'Prioritization Scoring Weights'!$A$7), 'Prioritization Scoring Weights'!$C$7, IF(COUNTIFS(Table1[ST Jira HOS'#],A2, Table1[Number of properties], 'Prioritization Scoring Weights'!$A$8), 'Prioritization Scoring Weights'!$C$8, IF(COUNTIFS(Table1[ST Jira HOS'#], A2, Table1[Number of properties], 'Prioritization Scoring Weights'!$A$9), 'Prioritization Scoring Weights'!$C$9, 0)))</f>
        <v>0</v>
      </c>
      <c r="D2">
        <f>IF(COUNTIFS(Table1[ST Jira HOS'#],A2, Table1[GRR Impact], 'Prioritization Scoring Weights'!$A$12), 'Prioritization Scoring Weights'!$C$12, IF(COUNTIFS(Table1[ST Jira HOS'#], A2, Table1[GRR Impact], 'Prioritization Scoring Weights'!$A$13), 'Prioritization Scoring Weights'!$C$13, IF(COUNTIFS(Table1[ST Jira HOS'#], A2, Table1[GRR Impact], 'Prioritization Scoring Weights'!$A$14), 'Prioritization Scoring Weights'!$C$14, 0)))</f>
        <v>0</v>
      </c>
      <c r="E2">
        <f>IF(COUNTIFS(Table1[ST Jira HOS'#], A2,Table1[Upscale Impact], 'Prioritization Scoring Weights'!$A$17), 'Prioritization Scoring Weights'!$C$17,0)</f>
        <v>0</v>
      </c>
      <c r="F2">
        <f>IF(COUNTIFS(Table1[ST Jira HOS'#], A2, Table1[Guest Satisfaction Impact], 'Prioritization Scoring Weights'!$A$20), 'Prioritization Scoring Weights'!$C$20, IF(COUNTIFS(Table1[ST Jira HOS'#],A2, Table1[Guest Satisfaction Impact], 'Prioritization Scoring Weights'!$A$21), 'Prioritization Scoring Weights'!$C$21, IF(COUNTIFS(Table1[ST Jira HOS'#], A2, Table1[Guest Satisfaction Impact], 'Prioritization Scoring Weights'!$A$22), 'Prioritization Scoring Weights'!$C$22, 0)))</f>
        <v>0</v>
      </c>
      <c r="G2">
        <f>IF(COUNTIFS(Table1[ST Jira HOS'#], A2,Table1[Program/Function Dependency], 'Prioritization Scoring Weights'!$A$25), 'Prioritization Scoring Weights'!$C$25,0)</f>
        <v>0</v>
      </c>
      <c r="H2">
        <f>IF(COUNTIFS(Table1[ST Jira HOS'#], A2,Table1[Repeating Problem], 'Prioritization Scoring Weights'!$A$28), 'Prioritization Scoring Weights'!$C$28,0)</f>
        <v>0</v>
      </c>
      <c r="I2">
        <f>SUM(B2,C2,D2,E2,F2, Calc[[#This Row],[Program Dependency]], Calc[[#This Row],[Repeating Problem]])</f>
        <v>4</v>
      </c>
      <c r="J2" t="str">
        <f>IF(I2&gt;='Prioritization Scoring Weights'!$B$37,'Prioritization Scoring Weights'!$C$37,IF(I2&gt;='Prioritization Scoring Weights'!$B$36,'Prioritization Scoring Weights'!$C$36,IF(I2&gt;='Prioritization Scoring Weights'!$B$35,'Prioritization Scoring Weights'!$C$35,IF(I2&gt;='Prioritization Scoring Weights'!$B$34,'Prioritization Scoring Weights'!$C$34,'Prioritization Scoring Weights'!$C$33))))</f>
        <v>Very Low</v>
      </c>
    </row>
    <row r="3" spans="1:10" x14ac:dyDescent="0.3">
      <c r="A3" t="str">
        <f>'Open Defects'!B8</f>
        <v>HOS-11599</v>
      </c>
      <c r="B3">
        <f>IF(COUNTIFS(Table1[ST Jira HOS'#],A3,Table1[Work around?], 'Prioritization Scoring Weights'!$A$3), 'Prioritization Scoring Weights'!$C$3,0)</f>
        <v>0</v>
      </c>
      <c r="C3">
        <f>IF(COUNTIFS(Table1[ST Jira HOS'#],A3, Table1[Number of properties], 'Prioritization Scoring Weights'!$A$7), 'Prioritization Scoring Weights'!$C$7, IF(COUNTIFS(Table1[ST Jira HOS'#],A3, Table1[Number of properties], 'Prioritization Scoring Weights'!$A$8), 'Prioritization Scoring Weights'!$C$8, IF(COUNTIFS(Table1[ST Jira HOS'#], A3, Table1[Number of properties], 'Prioritization Scoring Weights'!$A$9), 'Prioritization Scoring Weights'!$C$9, 0)))</f>
        <v>0</v>
      </c>
      <c r="D3">
        <f>IF(COUNTIFS(Table1[ST Jira HOS'#],A3, Table1[GRR Impact], 'Prioritization Scoring Weights'!$A$12), 'Prioritization Scoring Weights'!$C$12, IF(COUNTIFS(Table1[ST Jira HOS'#], A3, Table1[GRR Impact], 'Prioritization Scoring Weights'!$A$13), 'Prioritization Scoring Weights'!$C$13, IF(COUNTIFS(Table1[ST Jira HOS'#], A3, Table1[GRR Impact], 'Prioritization Scoring Weights'!$A$14), 'Prioritization Scoring Weights'!$C$14, 0)))</f>
        <v>0</v>
      </c>
      <c r="E3">
        <f>IF(COUNTIFS(Table1[ST Jira HOS'#], A3,Table1[Upscale Impact], 'Prioritization Scoring Weights'!$A$17), 'Prioritization Scoring Weights'!$C$17,0)</f>
        <v>0</v>
      </c>
      <c r="F3">
        <f>IF(COUNTIFS(Table1[ST Jira HOS'#], A3, Table1[Guest Satisfaction Impact], 'Prioritization Scoring Weights'!$A$20), 'Prioritization Scoring Weights'!$C$20, IF(COUNTIFS(Table1[ST Jira HOS'#],A3, Table1[Guest Satisfaction Impact], 'Prioritization Scoring Weights'!$A$21), 'Prioritization Scoring Weights'!$C$21, IF(COUNTIFS(Table1[ST Jira HOS'#], A3, Table1[Guest Satisfaction Impact], 'Prioritization Scoring Weights'!$A$22), 'Prioritization Scoring Weights'!$C$22, 0)))</f>
        <v>0</v>
      </c>
      <c r="G3">
        <f>IF(COUNTIFS(Table1[ST Jira HOS'#], A3,Table1[Program/Function Dependency], 'Prioritization Scoring Weights'!$A$25), 'Prioritization Scoring Weights'!$C$25,0)</f>
        <v>0</v>
      </c>
      <c r="H3">
        <f>IF(COUNTIFS(Table1[ST Jira HOS'#], A3,Table1[Repeating Problem], 'Prioritization Scoring Weights'!$A$28), 'Prioritization Scoring Weights'!$C$28,0)</f>
        <v>0</v>
      </c>
      <c r="I3">
        <f>SUM(B3,C3,D3,E3,F3, Calc[[#This Row],[Program Dependency]], Calc[[#This Row],[Repeating Problem]])</f>
        <v>0</v>
      </c>
      <c r="J3" t="str">
        <f>IF(I3&gt;='Prioritization Scoring Weights'!$B$37,'Prioritization Scoring Weights'!$C$37,IF(I3&gt;='Prioritization Scoring Weights'!$B$36,'Prioritization Scoring Weights'!$C$36,IF(I3&gt;='Prioritization Scoring Weights'!$B$35,'Prioritization Scoring Weights'!$C$35,IF(I3&gt;='Prioritization Scoring Weights'!$B$34,'Prioritization Scoring Weights'!$C$34,'Prioritization Scoring Weights'!$C$33))))</f>
        <v>Very Low</v>
      </c>
    </row>
    <row r="4" spans="1:10" x14ac:dyDescent="0.3">
      <c r="A4" t="str">
        <f>'Open Defects'!B9</f>
        <v>HOS-7973</v>
      </c>
      <c r="B4">
        <f>IF(COUNTIFS(Table1[ST Jira HOS'#],A4,Table1[Work around?], 'Prioritization Scoring Weights'!$A$3), 'Prioritization Scoring Weights'!$C$3,0)</f>
        <v>4</v>
      </c>
      <c r="C4">
        <f>IF(COUNTIFS(Table1[ST Jira HOS'#],A4, Table1[Number of properties], 'Prioritization Scoring Weights'!$A$7), 'Prioritization Scoring Weights'!$C$7, IF(COUNTIFS(Table1[ST Jira HOS'#],A4, Table1[Number of properties], 'Prioritization Scoring Weights'!$A$8), 'Prioritization Scoring Weights'!$C$8, IF(COUNTIFS(Table1[ST Jira HOS'#], A4, Table1[Number of properties], 'Prioritization Scoring Weights'!$A$9), 'Prioritization Scoring Weights'!$C$9, 0)))</f>
        <v>0</v>
      </c>
      <c r="D4">
        <f>IF(COUNTIFS(Table1[ST Jira HOS'#],A4, Table1[GRR Impact], 'Prioritization Scoring Weights'!$A$12), 'Prioritization Scoring Weights'!$C$12, IF(COUNTIFS(Table1[ST Jira HOS'#], A4, Table1[GRR Impact], 'Prioritization Scoring Weights'!$A$13), 'Prioritization Scoring Weights'!$C$13, IF(COUNTIFS(Table1[ST Jira HOS'#], A4, Table1[GRR Impact], 'Prioritization Scoring Weights'!$A$14), 'Prioritization Scoring Weights'!$C$14, 0)))</f>
        <v>0</v>
      </c>
      <c r="E4">
        <f>IF(COUNTIFS(Table1[ST Jira HOS'#], A4,Table1[Upscale Impact], 'Prioritization Scoring Weights'!$A$17), 'Prioritization Scoring Weights'!$C$17,0)</f>
        <v>0</v>
      </c>
      <c r="F4">
        <f>IF(COUNTIFS(Table1[ST Jira HOS'#], A4, Table1[Guest Satisfaction Impact], 'Prioritization Scoring Weights'!$A$20), 'Prioritization Scoring Weights'!$C$20, IF(COUNTIFS(Table1[ST Jira HOS'#],A4, Table1[Guest Satisfaction Impact], 'Prioritization Scoring Weights'!$A$21), 'Prioritization Scoring Weights'!$C$21, IF(COUNTIFS(Table1[ST Jira HOS'#], A4, Table1[Guest Satisfaction Impact], 'Prioritization Scoring Weights'!$A$22), 'Prioritization Scoring Weights'!$C$22, 0)))</f>
        <v>0</v>
      </c>
      <c r="G4">
        <f>IF(COUNTIFS(Table1[ST Jira HOS'#], A4,Table1[Program/Function Dependency], 'Prioritization Scoring Weights'!$A$25), 'Prioritization Scoring Weights'!$C$25,0)</f>
        <v>0</v>
      </c>
      <c r="H4">
        <f>IF(COUNTIFS(Table1[ST Jira HOS'#], A4,Table1[Repeating Problem], 'Prioritization Scoring Weights'!$A$28), 'Prioritization Scoring Weights'!$C$28,0)</f>
        <v>0</v>
      </c>
      <c r="I4">
        <f>SUM(B4,C4,D4,E4,F4, Calc[[#This Row],[Program Dependency]], Calc[[#This Row],[Repeating Problem]])</f>
        <v>4</v>
      </c>
      <c r="J4" t="str">
        <f>IF(I4&gt;='Prioritization Scoring Weights'!$B$37,'Prioritization Scoring Weights'!$C$37,IF(I4&gt;='Prioritization Scoring Weights'!$B$36,'Prioritization Scoring Weights'!$C$36,IF(I4&gt;='Prioritization Scoring Weights'!$B$35,'Prioritization Scoring Weights'!$C$35,IF(I4&gt;='Prioritization Scoring Weights'!$B$34,'Prioritization Scoring Weights'!$C$34,'Prioritization Scoring Weights'!$C$33))))</f>
        <v>Very Low</v>
      </c>
    </row>
    <row r="5" spans="1:10" x14ac:dyDescent="0.3">
      <c r="A5" t="str">
        <f>'Open Defects'!B10</f>
        <v>HOS-13110</v>
      </c>
      <c r="B5">
        <f>IF(COUNTIFS(Table1[ST Jira HOS'#],A5,Table1[Work around?], 'Prioritization Scoring Weights'!$A$3), 'Prioritization Scoring Weights'!$C$3,0)</f>
        <v>0</v>
      </c>
      <c r="C5">
        <f>IF(COUNTIFS(Table1[ST Jira HOS'#],A5, Table1[Number of properties], 'Prioritization Scoring Weights'!$A$7), 'Prioritization Scoring Weights'!$C$7, IF(COUNTIFS(Table1[ST Jira HOS'#],A5, Table1[Number of properties], 'Prioritization Scoring Weights'!$A$8), 'Prioritization Scoring Weights'!$C$8, IF(COUNTIFS(Table1[ST Jira HOS'#], A5, Table1[Number of properties], 'Prioritization Scoring Weights'!$A$9), 'Prioritization Scoring Weights'!$C$9, 0)))</f>
        <v>0</v>
      </c>
      <c r="D5">
        <f>IF(COUNTIFS(Table1[ST Jira HOS'#],A5, Table1[GRR Impact], 'Prioritization Scoring Weights'!$A$12), 'Prioritization Scoring Weights'!$C$12, IF(COUNTIFS(Table1[ST Jira HOS'#], A5, Table1[GRR Impact], 'Prioritization Scoring Weights'!$A$13), 'Prioritization Scoring Weights'!$C$13, IF(COUNTIFS(Table1[ST Jira HOS'#], A5, Table1[GRR Impact], 'Prioritization Scoring Weights'!$A$14), 'Prioritization Scoring Weights'!$C$14, 0)))</f>
        <v>0</v>
      </c>
      <c r="E5">
        <f>IF(COUNTIFS(Table1[ST Jira HOS'#], A5,Table1[Upscale Impact], 'Prioritization Scoring Weights'!$A$17), 'Prioritization Scoring Weights'!$C$17,0)</f>
        <v>0</v>
      </c>
      <c r="F5">
        <f>IF(COUNTIFS(Table1[ST Jira HOS'#], A5, Table1[Guest Satisfaction Impact], 'Prioritization Scoring Weights'!$A$20), 'Prioritization Scoring Weights'!$C$20, IF(COUNTIFS(Table1[ST Jira HOS'#],A5, Table1[Guest Satisfaction Impact], 'Prioritization Scoring Weights'!$A$21), 'Prioritization Scoring Weights'!$C$21, IF(COUNTIFS(Table1[ST Jira HOS'#], A5, Table1[Guest Satisfaction Impact], 'Prioritization Scoring Weights'!$A$22), 'Prioritization Scoring Weights'!$C$22, 0)))</f>
        <v>0</v>
      </c>
      <c r="G5">
        <f>IF(COUNTIFS(Table1[ST Jira HOS'#], A5,Table1[Program/Function Dependency], 'Prioritization Scoring Weights'!$A$25), 'Prioritization Scoring Weights'!$C$25,0)</f>
        <v>0</v>
      </c>
      <c r="H5">
        <f>IF(COUNTIFS(Table1[ST Jira HOS'#], A5,Table1[Repeating Problem], 'Prioritization Scoring Weights'!$A$28), 'Prioritization Scoring Weights'!$C$28,0)</f>
        <v>0</v>
      </c>
      <c r="I5">
        <f>SUM(B5,C5,D5,E5,F5, Calc[[#This Row],[Program Dependency]], Calc[[#This Row],[Repeating Problem]])</f>
        <v>0</v>
      </c>
      <c r="J5" t="str">
        <f>IF(I5&gt;='Prioritization Scoring Weights'!$B$37,'Prioritization Scoring Weights'!$C$37,IF(I5&gt;='Prioritization Scoring Weights'!$B$36,'Prioritization Scoring Weights'!$C$36,IF(I5&gt;='Prioritization Scoring Weights'!$B$35,'Prioritization Scoring Weights'!$C$35,IF(I5&gt;='Prioritization Scoring Weights'!$B$34,'Prioritization Scoring Weights'!$C$34,'Prioritization Scoring Weights'!$C$33))))</f>
        <v>Very Low</v>
      </c>
    </row>
    <row r="6" spans="1:10" x14ac:dyDescent="0.3">
      <c r="A6" t="str">
        <f>'Open Defects'!B11</f>
        <v xml:space="preserve">HOS-8744 </v>
      </c>
      <c r="B6">
        <f>IF(COUNTIFS(Table1[ST Jira HOS'#],A6,Table1[Work around?], 'Prioritization Scoring Weights'!$A$3), 'Prioritization Scoring Weights'!$C$3,0)</f>
        <v>0</v>
      </c>
      <c r="C6">
        <f>IF(COUNTIFS(Table1[ST Jira HOS'#],A6, Table1[Number of properties], 'Prioritization Scoring Weights'!$A$7), 'Prioritization Scoring Weights'!$C$7, IF(COUNTIFS(Table1[ST Jira HOS'#],A6, Table1[Number of properties], 'Prioritization Scoring Weights'!$A$8), 'Prioritization Scoring Weights'!$C$8, IF(COUNTIFS(Table1[ST Jira HOS'#], A6, Table1[Number of properties], 'Prioritization Scoring Weights'!$A$9), 'Prioritization Scoring Weights'!$C$9, 0)))</f>
        <v>4</v>
      </c>
      <c r="D6">
        <f>IF(COUNTIFS(Table1[ST Jira HOS'#],A6, Table1[GRR Impact], 'Prioritization Scoring Weights'!$A$12), 'Prioritization Scoring Weights'!$C$12, IF(COUNTIFS(Table1[ST Jira HOS'#], A6, Table1[GRR Impact], 'Prioritization Scoring Weights'!$A$13), 'Prioritization Scoring Weights'!$C$13, IF(COUNTIFS(Table1[ST Jira HOS'#], A6, Table1[GRR Impact], 'Prioritization Scoring Weights'!$A$14), 'Prioritization Scoring Weights'!$C$14, 0)))</f>
        <v>1</v>
      </c>
      <c r="E6">
        <f>IF(COUNTIFS(Table1[ST Jira HOS'#], A6,Table1[Upscale Impact], 'Prioritization Scoring Weights'!$A$17), 'Prioritization Scoring Weights'!$C$17,0)</f>
        <v>2</v>
      </c>
      <c r="F6">
        <f>IF(COUNTIFS(Table1[ST Jira HOS'#], A6, Table1[Guest Satisfaction Impact], 'Prioritization Scoring Weights'!$A$20), 'Prioritization Scoring Weights'!$C$20, IF(COUNTIFS(Table1[ST Jira HOS'#],A6, Table1[Guest Satisfaction Impact], 'Prioritization Scoring Weights'!$A$21), 'Prioritization Scoring Weights'!$C$21, IF(COUNTIFS(Table1[ST Jira HOS'#], A6, Table1[Guest Satisfaction Impact], 'Prioritization Scoring Weights'!$A$22), 'Prioritization Scoring Weights'!$C$22, 0)))</f>
        <v>1</v>
      </c>
      <c r="G6">
        <f>IF(COUNTIFS(Table1[ST Jira HOS'#], A6,Table1[Program/Function Dependency], 'Prioritization Scoring Weights'!$A$25), 'Prioritization Scoring Weights'!$C$25,0)</f>
        <v>0</v>
      </c>
      <c r="H6">
        <f>IF(COUNTIFS(Table1[ST Jira HOS'#], A6,Table1[Repeating Problem], 'Prioritization Scoring Weights'!$A$28), 'Prioritization Scoring Weights'!$C$28,0)</f>
        <v>0</v>
      </c>
      <c r="I6">
        <f>SUM(B6,C6,D6,E6,F6, Calc[[#This Row],[Program Dependency]], Calc[[#This Row],[Repeating Problem]])</f>
        <v>8</v>
      </c>
      <c r="J6" t="str">
        <f>IF(I6&gt;='Prioritization Scoring Weights'!$B$37,'Prioritization Scoring Weights'!$C$37,IF(I6&gt;='Prioritization Scoring Weights'!$B$36,'Prioritization Scoring Weights'!$C$36,IF(I6&gt;='Prioritization Scoring Weights'!$B$35,'Prioritization Scoring Weights'!$C$35,IF(I6&gt;='Prioritization Scoring Weights'!$B$34,'Prioritization Scoring Weights'!$C$34,'Prioritization Scoring Weights'!$C$33))))</f>
        <v>Low</v>
      </c>
    </row>
    <row r="7" spans="1:10" x14ac:dyDescent="0.3">
      <c r="A7" t="str">
        <f>'Open Defects'!B12</f>
        <v>HOS-11254</v>
      </c>
      <c r="B7">
        <f>IF(COUNTIFS(Table1[ST Jira HOS'#],A7,Table1[Work around?], 'Prioritization Scoring Weights'!$A$3), 'Prioritization Scoring Weights'!$C$3,0)</f>
        <v>4</v>
      </c>
      <c r="C7">
        <f>IF(COUNTIFS(Table1[ST Jira HOS'#],A7, Table1[Number of properties], 'Prioritization Scoring Weights'!$A$7), 'Prioritization Scoring Weights'!$C$7, IF(COUNTIFS(Table1[ST Jira HOS'#],A7, Table1[Number of properties], 'Prioritization Scoring Weights'!$A$8), 'Prioritization Scoring Weights'!$C$8, IF(COUNTIFS(Table1[ST Jira HOS'#], A7, Table1[Number of properties], 'Prioritization Scoring Weights'!$A$9), 'Prioritization Scoring Weights'!$C$9, 0)))</f>
        <v>0</v>
      </c>
      <c r="D7">
        <f>IF(COUNTIFS(Table1[ST Jira HOS'#],A7, Table1[GRR Impact], 'Prioritization Scoring Weights'!$A$12), 'Prioritization Scoring Weights'!$C$12, IF(COUNTIFS(Table1[ST Jira HOS'#], A7, Table1[GRR Impact], 'Prioritization Scoring Weights'!$A$13), 'Prioritization Scoring Weights'!$C$13, IF(COUNTIFS(Table1[ST Jira HOS'#], A7, Table1[GRR Impact], 'Prioritization Scoring Weights'!$A$14), 'Prioritization Scoring Weights'!$C$14, 0)))</f>
        <v>0</v>
      </c>
      <c r="E7">
        <f>IF(COUNTIFS(Table1[ST Jira HOS'#], A7,Table1[Upscale Impact], 'Prioritization Scoring Weights'!$A$17), 'Prioritization Scoring Weights'!$C$17,0)</f>
        <v>0</v>
      </c>
      <c r="F7">
        <f>IF(COUNTIFS(Table1[ST Jira HOS'#], A7, Table1[Guest Satisfaction Impact], 'Prioritization Scoring Weights'!$A$20), 'Prioritization Scoring Weights'!$C$20, IF(COUNTIFS(Table1[ST Jira HOS'#],A7, Table1[Guest Satisfaction Impact], 'Prioritization Scoring Weights'!$A$21), 'Prioritization Scoring Weights'!$C$21, IF(COUNTIFS(Table1[ST Jira HOS'#], A7, Table1[Guest Satisfaction Impact], 'Prioritization Scoring Weights'!$A$22), 'Prioritization Scoring Weights'!$C$22, 0)))</f>
        <v>0</v>
      </c>
      <c r="G7">
        <f>IF(COUNTIFS(Table1[ST Jira HOS'#], A7,Table1[Program/Function Dependency], 'Prioritization Scoring Weights'!$A$25), 'Prioritization Scoring Weights'!$C$25,0)</f>
        <v>0</v>
      </c>
      <c r="H7">
        <f>IF(COUNTIFS(Table1[ST Jira HOS'#], A7,Table1[Repeating Problem], 'Prioritization Scoring Weights'!$A$28), 'Prioritization Scoring Weights'!$C$28,0)</f>
        <v>0</v>
      </c>
      <c r="I7">
        <f>SUM(B7,C7,D7,E7,F7, Calc[[#This Row],[Program Dependency]], Calc[[#This Row],[Repeating Problem]])</f>
        <v>4</v>
      </c>
      <c r="J7" t="str">
        <f>IF(I7&gt;='Prioritization Scoring Weights'!$B$37,'Prioritization Scoring Weights'!$C$37,IF(I7&gt;='Prioritization Scoring Weights'!$B$36,'Prioritization Scoring Weights'!$C$36,IF(I7&gt;='Prioritization Scoring Weights'!$B$35,'Prioritization Scoring Weights'!$C$35,IF(I7&gt;='Prioritization Scoring Weights'!$B$34,'Prioritization Scoring Weights'!$C$34,'Prioritization Scoring Weights'!$C$33))))</f>
        <v>Very Low</v>
      </c>
    </row>
    <row r="8" spans="1:10" x14ac:dyDescent="0.3">
      <c r="A8" t="str">
        <f>'Open Defects'!B13</f>
        <v>HOS-16098</v>
      </c>
      <c r="B8">
        <f>IF(COUNTIFS(Table1[ST Jira HOS'#],A8,Table1[Work around?], 'Prioritization Scoring Weights'!$A$3), 'Prioritization Scoring Weights'!$C$3,0)</f>
        <v>0</v>
      </c>
      <c r="C8">
        <f>IF(COUNTIFS(Table1[ST Jira HOS'#],A8, Table1[Number of properties], 'Prioritization Scoring Weights'!$A$7), 'Prioritization Scoring Weights'!$C$7, IF(COUNTIFS(Table1[ST Jira HOS'#],A8, Table1[Number of properties], 'Prioritization Scoring Weights'!$A$8), 'Prioritization Scoring Weights'!$C$8, IF(COUNTIFS(Table1[ST Jira HOS'#], A8, Table1[Number of properties], 'Prioritization Scoring Weights'!$A$9), 'Prioritization Scoring Weights'!$C$9, 0)))</f>
        <v>0</v>
      </c>
      <c r="D8">
        <f>IF(COUNTIFS(Table1[ST Jira HOS'#],A8, Table1[GRR Impact], 'Prioritization Scoring Weights'!$A$12), 'Prioritization Scoring Weights'!$C$12, IF(COUNTIFS(Table1[ST Jira HOS'#], A8, Table1[GRR Impact], 'Prioritization Scoring Weights'!$A$13), 'Prioritization Scoring Weights'!$C$13, IF(COUNTIFS(Table1[ST Jira HOS'#], A8, Table1[GRR Impact], 'Prioritization Scoring Weights'!$A$14), 'Prioritization Scoring Weights'!$C$14, 0)))</f>
        <v>0</v>
      </c>
      <c r="E8">
        <f>IF(COUNTIFS(Table1[ST Jira HOS'#], A8,Table1[Upscale Impact], 'Prioritization Scoring Weights'!$A$17), 'Prioritization Scoring Weights'!$C$17,0)</f>
        <v>0</v>
      </c>
      <c r="F8">
        <f>IF(COUNTIFS(Table1[ST Jira HOS'#], A8, Table1[Guest Satisfaction Impact], 'Prioritization Scoring Weights'!$A$20), 'Prioritization Scoring Weights'!$C$20, IF(COUNTIFS(Table1[ST Jira HOS'#],A8, Table1[Guest Satisfaction Impact], 'Prioritization Scoring Weights'!$A$21), 'Prioritization Scoring Weights'!$C$21, IF(COUNTIFS(Table1[ST Jira HOS'#], A8, Table1[Guest Satisfaction Impact], 'Prioritization Scoring Weights'!$A$22), 'Prioritization Scoring Weights'!$C$22, 0)))</f>
        <v>0</v>
      </c>
      <c r="G8">
        <f>IF(COUNTIFS(Table1[ST Jira HOS'#], A8,Table1[Program/Function Dependency], 'Prioritization Scoring Weights'!$A$25), 'Prioritization Scoring Weights'!$C$25,0)</f>
        <v>0</v>
      </c>
      <c r="H8">
        <f>IF(COUNTIFS(Table1[ST Jira HOS'#], A8,Table1[Repeating Problem], 'Prioritization Scoring Weights'!$A$28), 'Prioritization Scoring Weights'!$C$28,0)</f>
        <v>0</v>
      </c>
      <c r="I8">
        <f>SUM(B8,C8,D8,E8,F8, Calc[[#This Row],[Program Dependency]], Calc[[#This Row],[Repeating Problem]])</f>
        <v>0</v>
      </c>
      <c r="J8" t="str">
        <f>IF(I8&gt;='Prioritization Scoring Weights'!$B$37,'Prioritization Scoring Weights'!$C$37,IF(I8&gt;='Prioritization Scoring Weights'!$B$36,'Prioritization Scoring Weights'!$C$36,IF(I8&gt;='Prioritization Scoring Weights'!$B$35,'Prioritization Scoring Weights'!$C$35,IF(I8&gt;='Prioritization Scoring Weights'!$B$34,'Prioritization Scoring Weights'!$C$34,'Prioritization Scoring Weights'!$C$33))))</f>
        <v>Very Low</v>
      </c>
    </row>
    <row r="9" spans="1:10" x14ac:dyDescent="0.3">
      <c r="A9" t="str">
        <f>'Open Defects'!B14</f>
        <v xml:space="preserve">HOS-5835 </v>
      </c>
      <c r="B9">
        <f>IF(COUNTIFS(Table1[ST Jira HOS'#],A9,Table1[Work around?], 'Prioritization Scoring Weights'!$A$3), 'Prioritization Scoring Weights'!$C$3,0)</f>
        <v>4</v>
      </c>
      <c r="C9">
        <f>IF(COUNTIFS(Table1[ST Jira HOS'#],A9, Table1[Number of properties], 'Prioritization Scoring Weights'!$A$7), 'Prioritization Scoring Weights'!$C$7, IF(COUNTIFS(Table1[ST Jira HOS'#],A9, Table1[Number of properties], 'Prioritization Scoring Weights'!$A$8), 'Prioritization Scoring Weights'!$C$8, IF(COUNTIFS(Table1[ST Jira HOS'#], A9, Table1[Number of properties], 'Prioritization Scoring Weights'!$A$9), 'Prioritization Scoring Weights'!$C$9, 0)))</f>
        <v>4</v>
      </c>
      <c r="D9">
        <f>IF(COUNTIFS(Table1[ST Jira HOS'#],A9, Table1[GRR Impact], 'Prioritization Scoring Weights'!$A$12), 'Prioritization Scoring Weights'!$C$12, IF(COUNTIFS(Table1[ST Jira HOS'#], A9, Table1[GRR Impact], 'Prioritization Scoring Weights'!$A$13), 'Prioritization Scoring Weights'!$C$13, IF(COUNTIFS(Table1[ST Jira HOS'#], A9, Table1[GRR Impact], 'Prioritization Scoring Weights'!$A$14), 'Prioritization Scoring Weights'!$C$14, 0)))</f>
        <v>1</v>
      </c>
      <c r="E9">
        <f>IF(COUNTIFS(Table1[ST Jira HOS'#], A9,Table1[Upscale Impact], 'Prioritization Scoring Weights'!$A$17), 'Prioritization Scoring Weights'!$C$17,0)</f>
        <v>2</v>
      </c>
      <c r="F9">
        <f>IF(COUNTIFS(Table1[ST Jira HOS'#], A9, Table1[Guest Satisfaction Impact], 'Prioritization Scoring Weights'!$A$20), 'Prioritization Scoring Weights'!$C$20, IF(COUNTIFS(Table1[ST Jira HOS'#],A9, Table1[Guest Satisfaction Impact], 'Prioritization Scoring Weights'!$A$21), 'Prioritization Scoring Weights'!$C$21, IF(COUNTIFS(Table1[ST Jira HOS'#], A9, Table1[Guest Satisfaction Impact], 'Prioritization Scoring Weights'!$A$22), 'Prioritization Scoring Weights'!$C$22, 0)))</f>
        <v>3</v>
      </c>
      <c r="G9">
        <f>IF(COUNTIFS(Table1[ST Jira HOS'#], A9,Table1[Program/Function Dependency], 'Prioritization Scoring Weights'!$A$25), 'Prioritization Scoring Weights'!$C$25,0)</f>
        <v>0</v>
      </c>
      <c r="H9">
        <f>IF(COUNTIFS(Table1[ST Jira HOS'#], A9,Table1[Repeating Problem], 'Prioritization Scoring Weights'!$A$28), 'Prioritization Scoring Weights'!$C$28,0)</f>
        <v>0</v>
      </c>
      <c r="I9">
        <f>SUM(B9,C9,D9,E9,F9, Calc[[#This Row],[Program Dependency]], Calc[[#This Row],[Repeating Problem]])</f>
        <v>14</v>
      </c>
      <c r="J9" t="str">
        <f>IF(I9&gt;='Prioritization Scoring Weights'!$B$37,'Prioritization Scoring Weights'!$C$37,IF(I9&gt;='Prioritization Scoring Weights'!$B$36,'Prioritization Scoring Weights'!$C$36,IF(I9&gt;='Prioritization Scoring Weights'!$B$35,'Prioritization Scoring Weights'!$C$35,IF(I9&gt;='Prioritization Scoring Weights'!$B$34,'Prioritization Scoring Weights'!$C$34,'Prioritization Scoring Weights'!$C$33))))</f>
        <v>High</v>
      </c>
    </row>
    <row r="10" spans="1:10" x14ac:dyDescent="0.3">
      <c r="A10" t="str">
        <f>'Open Defects'!B15</f>
        <v>HOS-11774</v>
      </c>
      <c r="B10">
        <f>IF(COUNTIFS(Table1[ST Jira HOS'#],A10,Table1[Work around?], 'Prioritization Scoring Weights'!$A$3), 'Prioritization Scoring Weights'!$C$3,0)</f>
        <v>4</v>
      </c>
      <c r="C10">
        <f>IF(COUNTIFS(Table1[ST Jira HOS'#],A10, Table1[Number of properties], 'Prioritization Scoring Weights'!$A$7), 'Prioritization Scoring Weights'!$C$7, IF(COUNTIFS(Table1[ST Jira HOS'#],A10, Table1[Number of properties], 'Prioritization Scoring Weights'!$A$8), 'Prioritization Scoring Weights'!$C$8, IF(COUNTIFS(Table1[ST Jira HOS'#], A10, Table1[Number of properties], 'Prioritization Scoring Weights'!$A$9), 'Prioritization Scoring Weights'!$C$9, 0)))</f>
        <v>0</v>
      </c>
      <c r="D10">
        <f>IF(COUNTIFS(Table1[ST Jira HOS'#],A10, Table1[GRR Impact], 'Prioritization Scoring Weights'!$A$12), 'Prioritization Scoring Weights'!$C$12, IF(COUNTIFS(Table1[ST Jira HOS'#], A10, Table1[GRR Impact], 'Prioritization Scoring Weights'!$A$13), 'Prioritization Scoring Weights'!$C$13, IF(COUNTIFS(Table1[ST Jira HOS'#], A10, Table1[GRR Impact], 'Prioritization Scoring Weights'!$A$14), 'Prioritization Scoring Weights'!$C$14, 0)))</f>
        <v>0</v>
      </c>
      <c r="E10">
        <f>IF(COUNTIFS(Table1[ST Jira HOS'#], A10,Table1[Upscale Impact], 'Prioritization Scoring Weights'!$A$17), 'Prioritization Scoring Weights'!$C$17,0)</f>
        <v>0</v>
      </c>
      <c r="F10">
        <f>IF(COUNTIFS(Table1[ST Jira HOS'#], A10, Table1[Guest Satisfaction Impact], 'Prioritization Scoring Weights'!$A$20), 'Prioritization Scoring Weights'!$C$20, IF(COUNTIFS(Table1[ST Jira HOS'#],A10, Table1[Guest Satisfaction Impact], 'Prioritization Scoring Weights'!$A$21), 'Prioritization Scoring Weights'!$C$21, IF(COUNTIFS(Table1[ST Jira HOS'#], A10, Table1[Guest Satisfaction Impact], 'Prioritization Scoring Weights'!$A$22), 'Prioritization Scoring Weights'!$C$22, 0)))</f>
        <v>0</v>
      </c>
      <c r="G10">
        <f>IF(COUNTIFS(Table1[ST Jira HOS'#], A10,Table1[Program/Function Dependency], 'Prioritization Scoring Weights'!$A$25), 'Prioritization Scoring Weights'!$C$25,0)</f>
        <v>0</v>
      </c>
      <c r="H10">
        <f>IF(COUNTIFS(Table1[ST Jira HOS'#], A10,Table1[Repeating Problem], 'Prioritization Scoring Weights'!$A$28), 'Prioritization Scoring Weights'!$C$28,0)</f>
        <v>0</v>
      </c>
      <c r="I10">
        <f>SUM(B10,C10,D10,E10,F10, Calc[[#This Row],[Program Dependency]], Calc[[#This Row],[Repeating Problem]])</f>
        <v>4</v>
      </c>
      <c r="J10" t="str">
        <f>IF(I10&gt;='Prioritization Scoring Weights'!$B$37,'Prioritization Scoring Weights'!$C$37,IF(I10&gt;='Prioritization Scoring Weights'!$B$36,'Prioritization Scoring Weights'!$C$36,IF(I10&gt;='Prioritization Scoring Weights'!$B$35,'Prioritization Scoring Weights'!$C$35,IF(I10&gt;='Prioritization Scoring Weights'!$B$34,'Prioritization Scoring Weights'!$C$34,'Prioritization Scoring Weights'!$C$33))))</f>
        <v>Very Low</v>
      </c>
    </row>
    <row r="11" spans="1:10" x14ac:dyDescent="0.3">
      <c r="A11" t="str">
        <f>'Open Defects'!B16</f>
        <v>HOS-11440</v>
      </c>
      <c r="B11">
        <f>IF(COUNTIFS(Table1[ST Jira HOS'#],A11,Table1[Work around?], 'Prioritization Scoring Weights'!$A$3), 'Prioritization Scoring Weights'!$C$3,0)</f>
        <v>0</v>
      </c>
      <c r="C11">
        <f>IF(COUNTIFS(Table1[ST Jira HOS'#],A11, Table1[Number of properties], 'Prioritization Scoring Weights'!$A$7), 'Prioritization Scoring Weights'!$C$7, IF(COUNTIFS(Table1[ST Jira HOS'#],A11, Table1[Number of properties], 'Prioritization Scoring Weights'!$A$8), 'Prioritization Scoring Weights'!$C$8, IF(COUNTIFS(Table1[ST Jira HOS'#], A11, Table1[Number of properties], 'Prioritization Scoring Weights'!$A$9), 'Prioritization Scoring Weights'!$C$9, 0)))</f>
        <v>0</v>
      </c>
      <c r="D11">
        <f>IF(COUNTIFS(Table1[ST Jira HOS'#],A11, Table1[GRR Impact], 'Prioritization Scoring Weights'!$A$12), 'Prioritization Scoring Weights'!$C$12, IF(COUNTIFS(Table1[ST Jira HOS'#], A11, Table1[GRR Impact], 'Prioritization Scoring Weights'!$A$13), 'Prioritization Scoring Weights'!$C$13, IF(COUNTIFS(Table1[ST Jira HOS'#], A11, Table1[GRR Impact], 'Prioritization Scoring Weights'!$A$14), 'Prioritization Scoring Weights'!$C$14, 0)))</f>
        <v>0</v>
      </c>
      <c r="E11">
        <f>IF(COUNTIFS(Table1[ST Jira HOS'#], A11,Table1[Upscale Impact], 'Prioritization Scoring Weights'!$A$17), 'Prioritization Scoring Weights'!$C$17,0)</f>
        <v>0</v>
      </c>
      <c r="F11">
        <f>IF(COUNTIFS(Table1[ST Jira HOS'#], A11, Table1[Guest Satisfaction Impact], 'Prioritization Scoring Weights'!$A$20), 'Prioritization Scoring Weights'!$C$20, IF(COUNTIFS(Table1[ST Jira HOS'#],A11, Table1[Guest Satisfaction Impact], 'Prioritization Scoring Weights'!$A$21), 'Prioritization Scoring Weights'!$C$21, IF(COUNTIFS(Table1[ST Jira HOS'#], A11, Table1[Guest Satisfaction Impact], 'Prioritization Scoring Weights'!$A$22), 'Prioritization Scoring Weights'!$C$22, 0)))</f>
        <v>0</v>
      </c>
      <c r="G11">
        <f>IF(COUNTIFS(Table1[ST Jira HOS'#], A11,Table1[Program/Function Dependency], 'Prioritization Scoring Weights'!$A$25), 'Prioritization Scoring Weights'!$C$25,0)</f>
        <v>0</v>
      </c>
      <c r="H11">
        <f>IF(COUNTIFS(Table1[ST Jira HOS'#], A11,Table1[Repeating Problem], 'Prioritization Scoring Weights'!$A$28), 'Prioritization Scoring Weights'!$C$28,0)</f>
        <v>0</v>
      </c>
      <c r="I11">
        <f>SUM(B11,C11,D11,E11,F11, Calc[[#This Row],[Program Dependency]], Calc[[#This Row],[Repeating Problem]])</f>
        <v>0</v>
      </c>
      <c r="J11" t="str">
        <f>IF(I11&gt;='Prioritization Scoring Weights'!$B$37,'Prioritization Scoring Weights'!$C$37,IF(I11&gt;='Prioritization Scoring Weights'!$B$36,'Prioritization Scoring Weights'!$C$36,IF(I11&gt;='Prioritization Scoring Weights'!$B$35,'Prioritization Scoring Weights'!$C$35,IF(I11&gt;='Prioritization Scoring Weights'!$B$34,'Prioritization Scoring Weights'!$C$34,'Prioritization Scoring Weights'!$C$33))))</f>
        <v>Very Low</v>
      </c>
    </row>
    <row r="12" spans="1:10" x14ac:dyDescent="0.3">
      <c r="A12" t="str">
        <f>'Open Defects'!B17</f>
        <v>HOS-11952</v>
      </c>
      <c r="B12">
        <f>IF(COUNTIFS(Table1[ST Jira HOS'#],A12,Table1[Work around?], 'Prioritization Scoring Weights'!$A$3), 'Prioritization Scoring Weights'!$C$3,0)</f>
        <v>0</v>
      </c>
      <c r="C12">
        <f>IF(COUNTIFS(Table1[ST Jira HOS'#],A12, Table1[Number of properties], 'Prioritization Scoring Weights'!$A$7), 'Prioritization Scoring Weights'!$C$7, IF(COUNTIFS(Table1[ST Jira HOS'#],A12, Table1[Number of properties], 'Prioritization Scoring Weights'!$A$8), 'Prioritization Scoring Weights'!$C$8, IF(COUNTIFS(Table1[ST Jira HOS'#], A12, Table1[Number of properties], 'Prioritization Scoring Weights'!$A$9), 'Prioritization Scoring Weights'!$C$9, 0)))</f>
        <v>0</v>
      </c>
      <c r="D12">
        <f>IF(COUNTIFS(Table1[ST Jira HOS'#],A12, Table1[GRR Impact], 'Prioritization Scoring Weights'!$A$12), 'Prioritization Scoring Weights'!$C$12, IF(COUNTIFS(Table1[ST Jira HOS'#], A12, Table1[GRR Impact], 'Prioritization Scoring Weights'!$A$13), 'Prioritization Scoring Weights'!$C$13, IF(COUNTIFS(Table1[ST Jira HOS'#], A12, Table1[GRR Impact], 'Prioritization Scoring Weights'!$A$14), 'Prioritization Scoring Weights'!$C$14, 0)))</f>
        <v>0</v>
      </c>
      <c r="E12">
        <f>IF(COUNTIFS(Table1[ST Jira HOS'#], A12,Table1[Upscale Impact], 'Prioritization Scoring Weights'!$A$17), 'Prioritization Scoring Weights'!$C$17,0)</f>
        <v>0</v>
      </c>
      <c r="F12">
        <f>IF(COUNTIFS(Table1[ST Jira HOS'#], A12, Table1[Guest Satisfaction Impact], 'Prioritization Scoring Weights'!$A$20), 'Prioritization Scoring Weights'!$C$20, IF(COUNTIFS(Table1[ST Jira HOS'#],A12, Table1[Guest Satisfaction Impact], 'Prioritization Scoring Weights'!$A$21), 'Prioritization Scoring Weights'!$C$21, IF(COUNTIFS(Table1[ST Jira HOS'#], A12, Table1[Guest Satisfaction Impact], 'Prioritization Scoring Weights'!$A$22), 'Prioritization Scoring Weights'!$C$22, 0)))</f>
        <v>0</v>
      </c>
      <c r="G12">
        <f>IF(COUNTIFS(Table1[ST Jira HOS'#], A12,Table1[Program/Function Dependency], 'Prioritization Scoring Weights'!$A$25), 'Prioritization Scoring Weights'!$C$25,0)</f>
        <v>0</v>
      </c>
      <c r="H12">
        <f>IF(COUNTIFS(Table1[ST Jira HOS'#], A12,Table1[Repeating Problem], 'Prioritization Scoring Weights'!$A$28), 'Prioritization Scoring Weights'!$C$28,0)</f>
        <v>0</v>
      </c>
      <c r="I12">
        <f>SUM(B12,C12,D12,E12,F12, Calc[[#This Row],[Program Dependency]], Calc[[#This Row],[Repeating Problem]])</f>
        <v>0</v>
      </c>
      <c r="J12" t="str">
        <f>IF(I12&gt;='Prioritization Scoring Weights'!$B$37,'Prioritization Scoring Weights'!$C$37,IF(I12&gt;='Prioritization Scoring Weights'!$B$36,'Prioritization Scoring Weights'!$C$36,IF(I12&gt;='Prioritization Scoring Weights'!$B$35,'Prioritization Scoring Weights'!$C$35,IF(I12&gt;='Prioritization Scoring Weights'!$B$34,'Prioritization Scoring Weights'!$C$34,'Prioritization Scoring Weights'!$C$33))))</f>
        <v>Very Low</v>
      </c>
    </row>
    <row r="13" spans="1:10" x14ac:dyDescent="0.3">
      <c r="A13" t="str">
        <f>'Open Defects'!B18</f>
        <v>HOS-11023</v>
      </c>
      <c r="B13">
        <f>IF(COUNTIFS(Table1[ST Jira HOS'#],A13,Table1[Work around?], 'Prioritization Scoring Weights'!$A$3), 'Prioritization Scoring Weights'!$C$3,0)</f>
        <v>4</v>
      </c>
      <c r="C13">
        <f>IF(COUNTIFS(Table1[ST Jira HOS'#],A13, Table1[Number of properties], 'Prioritization Scoring Weights'!$A$7), 'Prioritization Scoring Weights'!$C$7, IF(COUNTIFS(Table1[ST Jira HOS'#],A13, Table1[Number of properties], 'Prioritization Scoring Weights'!$A$8), 'Prioritization Scoring Weights'!$C$8, IF(COUNTIFS(Table1[ST Jira HOS'#], A13, Table1[Number of properties], 'Prioritization Scoring Weights'!$A$9), 'Prioritization Scoring Weights'!$C$9, 0)))</f>
        <v>0</v>
      </c>
      <c r="D13">
        <f>IF(COUNTIFS(Table1[ST Jira HOS'#],A13, Table1[GRR Impact], 'Prioritization Scoring Weights'!$A$12), 'Prioritization Scoring Weights'!$C$12, IF(COUNTIFS(Table1[ST Jira HOS'#], A13, Table1[GRR Impact], 'Prioritization Scoring Weights'!$A$13), 'Prioritization Scoring Weights'!$C$13, IF(COUNTIFS(Table1[ST Jira HOS'#], A13, Table1[GRR Impact], 'Prioritization Scoring Weights'!$A$14), 'Prioritization Scoring Weights'!$C$14, 0)))</f>
        <v>0</v>
      </c>
      <c r="E13">
        <f>IF(COUNTIFS(Table1[ST Jira HOS'#], A13,Table1[Upscale Impact], 'Prioritization Scoring Weights'!$A$17), 'Prioritization Scoring Weights'!$C$17,0)</f>
        <v>0</v>
      </c>
      <c r="F13">
        <f>IF(COUNTIFS(Table1[ST Jira HOS'#], A13, Table1[Guest Satisfaction Impact], 'Prioritization Scoring Weights'!$A$20), 'Prioritization Scoring Weights'!$C$20, IF(COUNTIFS(Table1[ST Jira HOS'#],A13, Table1[Guest Satisfaction Impact], 'Prioritization Scoring Weights'!$A$21), 'Prioritization Scoring Weights'!$C$21, IF(COUNTIFS(Table1[ST Jira HOS'#], A13, Table1[Guest Satisfaction Impact], 'Prioritization Scoring Weights'!$A$22), 'Prioritization Scoring Weights'!$C$22, 0)))</f>
        <v>0</v>
      </c>
      <c r="G13">
        <f>IF(COUNTIFS(Table1[ST Jira HOS'#], A13,Table1[Program/Function Dependency], 'Prioritization Scoring Weights'!$A$25), 'Prioritization Scoring Weights'!$C$25,0)</f>
        <v>0</v>
      </c>
      <c r="H13">
        <f>IF(COUNTIFS(Table1[ST Jira HOS'#], A13,Table1[Repeating Problem], 'Prioritization Scoring Weights'!$A$28), 'Prioritization Scoring Weights'!$C$28,0)</f>
        <v>0</v>
      </c>
      <c r="I13">
        <f>SUM(B13,C13,D13,E13,F13, Calc[[#This Row],[Program Dependency]], Calc[[#This Row],[Repeating Problem]])</f>
        <v>4</v>
      </c>
      <c r="J13" t="str">
        <f>IF(I13&gt;='Prioritization Scoring Weights'!$B$37,'Prioritization Scoring Weights'!$C$37,IF(I13&gt;='Prioritization Scoring Weights'!$B$36,'Prioritization Scoring Weights'!$C$36,IF(I13&gt;='Prioritization Scoring Weights'!$B$35,'Prioritization Scoring Weights'!$C$35,IF(I13&gt;='Prioritization Scoring Weights'!$B$34,'Prioritization Scoring Weights'!$C$34,'Prioritization Scoring Weights'!$C$33))))</f>
        <v>Very Low</v>
      </c>
    </row>
    <row r="14" spans="1:10" x14ac:dyDescent="0.3">
      <c r="A14" t="str">
        <f>'Open Defects'!B19</f>
        <v>HOS-14978</v>
      </c>
      <c r="B14">
        <f>IF(COUNTIFS(Table1[ST Jira HOS'#],A14,Table1[Work around?], 'Prioritization Scoring Weights'!$A$3), 'Prioritization Scoring Weights'!$C$3,0)</f>
        <v>4</v>
      </c>
      <c r="C14">
        <f>IF(COUNTIFS(Table1[ST Jira HOS'#],A14, Table1[Number of properties], 'Prioritization Scoring Weights'!$A$7), 'Prioritization Scoring Weights'!$C$7, IF(COUNTIFS(Table1[ST Jira HOS'#],A14, Table1[Number of properties], 'Prioritization Scoring Weights'!$A$8), 'Prioritization Scoring Weights'!$C$8, IF(COUNTIFS(Table1[ST Jira HOS'#], A14, Table1[Number of properties], 'Prioritization Scoring Weights'!$A$9), 'Prioritization Scoring Weights'!$C$9, 0)))</f>
        <v>0</v>
      </c>
      <c r="D14">
        <f>IF(COUNTIFS(Table1[ST Jira HOS'#],A14, Table1[GRR Impact], 'Prioritization Scoring Weights'!$A$12), 'Prioritization Scoring Weights'!$C$12, IF(COUNTIFS(Table1[ST Jira HOS'#], A14, Table1[GRR Impact], 'Prioritization Scoring Weights'!$A$13), 'Prioritization Scoring Weights'!$C$13, IF(COUNTIFS(Table1[ST Jira HOS'#], A14, Table1[GRR Impact], 'Prioritization Scoring Weights'!$A$14), 'Prioritization Scoring Weights'!$C$14, 0)))</f>
        <v>0</v>
      </c>
      <c r="E14">
        <f>IF(COUNTIFS(Table1[ST Jira HOS'#], A14,Table1[Upscale Impact], 'Prioritization Scoring Weights'!$A$17), 'Prioritization Scoring Weights'!$C$17,0)</f>
        <v>0</v>
      </c>
      <c r="F14">
        <f>IF(COUNTIFS(Table1[ST Jira HOS'#], A14, Table1[Guest Satisfaction Impact], 'Prioritization Scoring Weights'!$A$20), 'Prioritization Scoring Weights'!$C$20, IF(COUNTIFS(Table1[ST Jira HOS'#],A14, Table1[Guest Satisfaction Impact], 'Prioritization Scoring Weights'!$A$21), 'Prioritization Scoring Weights'!$C$21, IF(COUNTIFS(Table1[ST Jira HOS'#], A14, Table1[Guest Satisfaction Impact], 'Prioritization Scoring Weights'!$A$22), 'Prioritization Scoring Weights'!$C$22, 0)))</f>
        <v>0</v>
      </c>
      <c r="G14">
        <f>IF(COUNTIFS(Table1[ST Jira HOS'#], A14,Table1[Program/Function Dependency], 'Prioritization Scoring Weights'!$A$25), 'Prioritization Scoring Weights'!$C$25,0)</f>
        <v>0</v>
      </c>
      <c r="H14">
        <f>IF(COUNTIFS(Table1[ST Jira HOS'#], A14,Table1[Repeating Problem], 'Prioritization Scoring Weights'!$A$28), 'Prioritization Scoring Weights'!$C$28,0)</f>
        <v>0</v>
      </c>
      <c r="I14">
        <f>SUM(B14,C14,D14,E14,F14, Calc[[#This Row],[Program Dependency]], Calc[[#This Row],[Repeating Problem]])</f>
        <v>4</v>
      </c>
      <c r="J14" t="str">
        <f>IF(I14&gt;='Prioritization Scoring Weights'!$B$37,'Prioritization Scoring Weights'!$C$37,IF(I14&gt;='Prioritization Scoring Weights'!$B$36,'Prioritization Scoring Weights'!$C$36,IF(I14&gt;='Prioritization Scoring Weights'!$B$35,'Prioritization Scoring Weights'!$C$35,IF(I14&gt;='Prioritization Scoring Weights'!$B$34,'Prioritization Scoring Weights'!$C$34,'Prioritization Scoring Weights'!$C$33))))</f>
        <v>Very Low</v>
      </c>
    </row>
    <row r="15" spans="1:10" x14ac:dyDescent="0.3">
      <c r="A15" t="str">
        <f>'Open Defects'!B20</f>
        <v>HOS-2281</v>
      </c>
      <c r="B15">
        <f>IF(COUNTIFS(Table1[ST Jira HOS'#],A15,Table1[Work around?], 'Prioritization Scoring Weights'!$A$3), 'Prioritization Scoring Weights'!$C$3,0)</f>
        <v>4</v>
      </c>
      <c r="C15">
        <f>IF(COUNTIFS(Table1[ST Jira HOS'#],A15, Table1[Number of properties], 'Prioritization Scoring Weights'!$A$7), 'Prioritization Scoring Weights'!$C$7, IF(COUNTIFS(Table1[ST Jira HOS'#],A15, Table1[Number of properties], 'Prioritization Scoring Weights'!$A$8), 'Prioritization Scoring Weights'!$C$8, IF(COUNTIFS(Table1[ST Jira HOS'#], A15, Table1[Number of properties], 'Prioritization Scoring Weights'!$A$9), 'Prioritization Scoring Weights'!$C$9, 0)))</f>
        <v>0</v>
      </c>
      <c r="D15">
        <f>IF(COUNTIFS(Table1[ST Jira HOS'#],A15, Table1[GRR Impact], 'Prioritization Scoring Weights'!$A$12), 'Prioritization Scoring Weights'!$C$12, IF(COUNTIFS(Table1[ST Jira HOS'#], A15, Table1[GRR Impact], 'Prioritization Scoring Weights'!$A$13), 'Prioritization Scoring Weights'!$C$13, IF(COUNTIFS(Table1[ST Jira HOS'#], A15, Table1[GRR Impact], 'Prioritization Scoring Weights'!$A$14), 'Prioritization Scoring Weights'!$C$14, 0)))</f>
        <v>0</v>
      </c>
      <c r="E15">
        <f>IF(COUNTIFS(Table1[ST Jira HOS'#], A15,Table1[Upscale Impact], 'Prioritization Scoring Weights'!$A$17), 'Prioritization Scoring Weights'!$C$17,0)</f>
        <v>0</v>
      </c>
      <c r="F15">
        <f>IF(COUNTIFS(Table1[ST Jira HOS'#], A15, Table1[Guest Satisfaction Impact], 'Prioritization Scoring Weights'!$A$20), 'Prioritization Scoring Weights'!$C$20, IF(COUNTIFS(Table1[ST Jira HOS'#],A15, Table1[Guest Satisfaction Impact], 'Prioritization Scoring Weights'!$A$21), 'Prioritization Scoring Weights'!$C$21, IF(COUNTIFS(Table1[ST Jira HOS'#], A15, Table1[Guest Satisfaction Impact], 'Prioritization Scoring Weights'!$A$22), 'Prioritization Scoring Weights'!$C$22, 0)))</f>
        <v>0</v>
      </c>
      <c r="G15">
        <f>IF(COUNTIFS(Table1[ST Jira HOS'#], A15,Table1[Program/Function Dependency], 'Prioritization Scoring Weights'!$A$25), 'Prioritization Scoring Weights'!$C$25,0)</f>
        <v>0</v>
      </c>
      <c r="H15">
        <f>IF(COUNTIFS(Table1[ST Jira HOS'#], A15,Table1[Repeating Problem], 'Prioritization Scoring Weights'!$A$28), 'Prioritization Scoring Weights'!$C$28,0)</f>
        <v>0</v>
      </c>
      <c r="I15">
        <f>SUM(B15,C15,D15,E15,F15, Calc[[#This Row],[Program Dependency]], Calc[[#This Row],[Repeating Problem]])</f>
        <v>4</v>
      </c>
      <c r="J15" t="str">
        <f>IF(I15&gt;='Prioritization Scoring Weights'!$B$37,'Prioritization Scoring Weights'!$C$37,IF(I15&gt;='Prioritization Scoring Weights'!$B$36,'Prioritization Scoring Weights'!$C$36,IF(I15&gt;='Prioritization Scoring Weights'!$B$35,'Prioritization Scoring Weights'!$C$35,IF(I15&gt;='Prioritization Scoring Weights'!$B$34,'Prioritization Scoring Weights'!$C$34,'Prioritization Scoring Weights'!$C$33))))</f>
        <v>Very Low</v>
      </c>
    </row>
    <row r="16" spans="1:10" x14ac:dyDescent="0.3">
      <c r="A16" t="str">
        <f>'Open Defects'!B21</f>
        <v>HOS-16518</v>
      </c>
      <c r="B16">
        <f>IF(COUNTIFS(Table1[ST Jira HOS'#],A16,Table1[Work around?], 'Prioritization Scoring Weights'!$A$3), 'Prioritization Scoring Weights'!$C$3,0)</f>
        <v>4</v>
      </c>
      <c r="C16">
        <f>IF(COUNTIFS(Table1[ST Jira HOS'#],A16, Table1[Number of properties], 'Prioritization Scoring Weights'!$A$7), 'Prioritization Scoring Weights'!$C$7, IF(COUNTIFS(Table1[ST Jira HOS'#],A16, Table1[Number of properties], 'Prioritization Scoring Weights'!$A$8), 'Prioritization Scoring Weights'!$C$8, IF(COUNTIFS(Table1[ST Jira HOS'#], A16, Table1[Number of properties], 'Prioritization Scoring Weights'!$A$9), 'Prioritization Scoring Weights'!$C$9, 0)))</f>
        <v>4</v>
      </c>
      <c r="D16">
        <f>IF(COUNTIFS(Table1[ST Jira HOS'#],A16, Table1[GRR Impact], 'Prioritization Scoring Weights'!$A$12), 'Prioritization Scoring Weights'!$C$12, IF(COUNTIFS(Table1[ST Jira HOS'#], A16, Table1[GRR Impact], 'Prioritization Scoring Weights'!$A$13), 'Prioritization Scoring Weights'!$C$13, IF(COUNTIFS(Table1[ST Jira HOS'#], A16, Table1[GRR Impact], 'Prioritization Scoring Weights'!$A$14), 'Prioritization Scoring Weights'!$C$14, 0)))</f>
        <v>3</v>
      </c>
      <c r="E16">
        <f>IF(COUNTIFS(Table1[ST Jira HOS'#], A16,Table1[Upscale Impact], 'Prioritization Scoring Weights'!$A$17), 'Prioritization Scoring Weights'!$C$17,0)</f>
        <v>2</v>
      </c>
      <c r="F16">
        <f>IF(COUNTIFS(Table1[ST Jira HOS'#], A16, Table1[Guest Satisfaction Impact], 'Prioritization Scoring Weights'!$A$20), 'Prioritization Scoring Weights'!$C$20, IF(COUNTIFS(Table1[ST Jira HOS'#],A16, Table1[Guest Satisfaction Impact], 'Prioritization Scoring Weights'!$A$21), 'Prioritization Scoring Weights'!$C$21, IF(COUNTIFS(Table1[ST Jira HOS'#], A16, Table1[Guest Satisfaction Impact], 'Prioritization Scoring Weights'!$A$22), 'Prioritization Scoring Weights'!$C$22, 0)))</f>
        <v>2</v>
      </c>
      <c r="G16">
        <f>IF(COUNTIFS(Table1[ST Jira HOS'#], A16,Table1[Program/Function Dependency], 'Prioritization Scoring Weights'!$A$25), 'Prioritization Scoring Weights'!$C$25,0)</f>
        <v>2</v>
      </c>
      <c r="H16">
        <f>IF(COUNTIFS(Table1[ST Jira HOS'#], A16,Table1[Repeating Problem], 'Prioritization Scoring Weights'!$A$28), 'Prioritization Scoring Weights'!$C$28,0)</f>
        <v>0</v>
      </c>
      <c r="I16">
        <f>SUM(B16,C16,D16,E16,F16, Calc[[#This Row],[Program Dependency]], Calc[[#This Row],[Repeating Problem]])</f>
        <v>17</v>
      </c>
      <c r="J16" t="str">
        <f>IF(I16&gt;='Prioritization Scoring Weights'!$B$37,'Prioritization Scoring Weights'!$C$37,IF(I16&gt;='Prioritization Scoring Weights'!$B$36,'Prioritization Scoring Weights'!$C$36,IF(I16&gt;='Prioritization Scoring Weights'!$B$35,'Prioritization Scoring Weights'!$C$35,IF(I16&gt;='Prioritization Scoring Weights'!$B$34,'Prioritization Scoring Weights'!$C$34,'Prioritization Scoring Weights'!$C$33))))</f>
        <v>Critical</v>
      </c>
    </row>
    <row r="17" spans="1:10" x14ac:dyDescent="0.3">
      <c r="A17" t="str">
        <f>'Open Defects'!B22</f>
        <v>HOS-2038</v>
      </c>
      <c r="B17">
        <f>IF(COUNTIFS(Table1[ST Jira HOS'#],A17,Table1[Work around?], 'Prioritization Scoring Weights'!$A$3), 'Prioritization Scoring Weights'!$C$3,0)</f>
        <v>4</v>
      </c>
      <c r="C17">
        <f>IF(COUNTIFS(Table1[ST Jira HOS'#],A17, Table1[Number of properties], 'Prioritization Scoring Weights'!$A$7), 'Prioritization Scoring Weights'!$C$7, IF(COUNTIFS(Table1[ST Jira HOS'#],A17, Table1[Number of properties], 'Prioritization Scoring Weights'!$A$8), 'Prioritization Scoring Weights'!$C$8, IF(COUNTIFS(Table1[ST Jira HOS'#], A17, Table1[Number of properties], 'Prioritization Scoring Weights'!$A$9), 'Prioritization Scoring Weights'!$C$9, 0)))</f>
        <v>4</v>
      </c>
      <c r="D17">
        <f>IF(COUNTIFS(Table1[ST Jira HOS'#],A17, Table1[GRR Impact], 'Prioritization Scoring Weights'!$A$12), 'Prioritization Scoring Weights'!$C$12, IF(COUNTIFS(Table1[ST Jira HOS'#], A17, Table1[GRR Impact], 'Prioritization Scoring Weights'!$A$13), 'Prioritization Scoring Weights'!$C$13, IF(COUNTIFS(Table1[ST Jira HOS'#], A17, Table1[GRR Impact], 'Prioritization Scoring Weights'!$A$14), 'Prioritization Scoring Weights'!$C$14, 0)))</f>
        <v>2</v>
      </c>
      <c r="E17">
        <f>IF(COUNTIFS(Table1[ST Jira HOS'#], A17,Table1[Upscale Impact], 'Prioritization Scoring Weights'!$A$17), 'Prioritization Scoring Weights'!$C$17,0)</f>
        <v>2</v>
      </c>
      <c r="F17">
        <f>IF(COUNTIFS(Table1[ST Jira HOS'#], A17, Table1[Guest Satisfaction Impact], 'Prioritization Scoring Weights'!$A$20), 'Prioritization Scoring Weights'!$C$20, IF(COUNTIFS(Table1[ST Jira HOS'#],A17, Table1[Guest Satisfaction Impact], 'Prioritization Scoring Weights'!$A$21), 'Prioritization Scoring Weights'!$C$21, IF(COUNTIFS(Table1[ST Jira HOS'#], A17, Table1[Guest Satisfaction Impact], 'Prioritization Scoring Weights'!$A$22), 'Prioritization Scoring Weights'!$C$22, 0)))</f>
        <v>3</v>
      </c>
      <c r="G17">
        <f>IF(COUNTIFS(Table1[ST Jira HOS'#], A17,Table1[Program/Function Dependency], 'Prioritization Scoring Weights'!$A$25), 'Prioritization Scoring Weights'!$C$25,0)</f>
        <v>0</v>
      </c>
      <c r="H17">
        <f>IF(COUNTIFS(Table1[ST Jira HOS'#], A17,Table1[Repeating Problem], 'Prioritization Scoring Weights'!$A$28), 'Prioritization Scoring Weights'!$C$28,0)</f>
        <v>0</v>
      </c>
      <c r="I17">
        <f>SUM(B17,C17,D17,E17,F17, Calc[[#This Row],[Program Dependency]], Calc[[#This Row],[Repeating Problem]])</f>
        <v>15</v>
      </c>
      <c r="J17" t="str">
        <f>IF(I17&gt;='Prioritization Scoring Weights'!$B$37,'Prioritization Scoring Weights'!$C$37,IF(I17&gt;='Prioritization Scoring Weights'!$B$36,'Prioritization Scoring Weights'!$C$36,IF(I17&gt;='Prioritization Scoring Weights'!$B$35,'Prioritization Scoring Weights'!$C$35,IF(I17&gt;='Prioritization Scoring Weights'!$B$34,'Prioritization Scoring Weights'!$C$34,'Prioritization Scoring Weights'!$C$33))))</f>
        <v>High</v>
      </c>
    </row>
    <row r="18" spans="1:10" x14ac:dyDescent="0.3">
      <c r="A18" t="str">
        <f>'Open Defects'!B23</f>
        <v>HOS-14118</v>
      </c>
      <c r="B18">
        <f>IF(COUNTIFS(Table1[ST Jira HOS'#],A18,Table1[Work around?], 'Prioritization Scoring Weights'!$A$3), 'Prioritization Scoring Weights'!$C$3,0)</f>
        <v>0</v>
      </c>
      <c r="C18">
        <f>IF(COUNTIFS(Table1[ST Jira HOS'#],A18, Table1[Number of properties], 'Prioritization Scoring Weights'!$A$7), 'Prioritization Scoring Weights'!$C$7, IF(COUNTIFS(Table1[ST Jira HOS'#],A18, Table1[Number of properties], 'Prioritization Scoring Weights'!$A$8), 'Prioritization Scoring Weights'!$C$8, IF(COUNTIFS(Table1[ST Jira HOS'#], A18, Table1[Number of properties], 'Prioritization Scoring Weights'!$A$9), 'Prioritization Scoring Weights'!$C$9, 0)))</f>
        <v>4</v>
      </c>
      <c r="D18">
        <f>IF(COUNTIFS(Table1[ST Jira HOS'#],A18, Table1[GRR Impact], 'Prioritization Scoring Weights'!$A$12), 'Prioritization Scoring Weights'!$C$12, IF(COUNTIFS(Table1[ST Jira HOS'#], A18, Table1[GRR Impact], 'Prioritization Scoring Weights'!$A$13), 'Prioritization Scoring Weights'!$C$13, IF(COUNTIFS(Table1[ST Jira HOS'#], A18, Table1[GRR Impact], 'Prioritization Scoring Weights'!$A$14), 'Prioritization Scoring Weights'!$C$14, 0)))</f>
        <v>1</v>
      </c>
      <c r="E18">
        <f>IF(COUNTIFS(Table1[ST Jira HOS'#], A18,Table1[Upscale Impact], 'Prioritization Scoring Weights'!$A$17), 'Prioritization Scoring Weights'!$C$17,0)</f>
        <v>2</v>
      </c>
      <c r="F18">
        <f>IF(COUNTIFS(Table1[ST Jira HOS'#], A18, Table1[Guest Satisfaction Impact], 'Prioritization Scoring Weights'!$A$20), 'Prioritization Scoring Weights'!$C$20, IF(COUNTIFS(Table1[ST Jira HOS'#],A18, Table1[Guest Satisfaction Impact], 'Prioritization Scoring Weights'!$A$21), 'Prioritization Scoring Weights'!$C$21, IF(COUNTIFS(Table1[ST Jira HOS'#], A18, Table1[Guest Satisfaction Impact], 'Prioritization Scoring Weights'!$A$22), 'Prioritization Scoring Weights'!$C$22, 0)))</f>
        <v>3</v>
      </c>
      <c r="G18">
        <f>IF(COUNTIFS(Table1[ST Jira HOS'#], A18,Table1[Program/Function Dependency], 'Prioritization Scoring Weights'!$A$25), 'Prioritization Scoring Weights'!$C$25,0)</f>
        <v>0</v>
      </c>
      <c r="H18">
        <f>IF(COUNTIFS(Table1[ST Jira HOS'#], A18,Table1[Repeating Problem], 'Prioritization Scoring Weights'!$A$28), 'Prioritization Scoring Weights'!$C$28,0)</f>
        <v>0</v>
      </c>
      <c r="I18">
        <f>SUM(B18,C18,D18,E18,F18, Calc[[#This Row],[Program Dependency]], Calc[[#This Row],[Repeating Problem]])</f>
        <v>10</v>
      </c>
      <c r="J18" t="str">
        <f>IF(I18&gt;='Prioritization Scoring Weights'!$B$37,'Prioritization Scoring Weights'!$C$37,IF(I18&gt;='Prioritization Scoring Weights'!$B$36,'Prioritization Scoring Weights'!$C$36,IF(I18&gt;='Prioritization Scoring Weights'!$B$35,'Prioritization Scoring Weights'!$C$35,IF(I18&gt;='Prioritization Scoring Weights'!$B$34,'Prioritization Scoring Weights'!$C$34,'Prioritization Scoring Weights'!$C$33))))</f>
        <v>Low</v>
      </c>
    </row>
    <row r="19" spans="1:10" x14ac:dyDescent="0.3">
      <c r="A19" t="str">
        <f>'Open Defects'!B24</f>
        <v>HOS-2322</v>
      </c>
      <c r="B19">
        <f>IF(COUNTIFS(Table1[ST Jira HOS'#],A19,Table1[Work around?], 'Prioritization Scoring Weights'!$A$3), 'Prioritization Scoring Weights'!$C$3,0)</f>
        <v>4</v>
      </c>
      <c r="C19">
        <f>IF(COUNTIFS(Table1[ST Jira HOS'#],A19, Table1[Number of properties], 'Prioritization Scoring Weights'!$A$7), 'Prioritization Scoring Weights'!$C$7, IF(COUNTIFS(Table1[ST Jira HOS'#],A19, Table1[Number of properties], 'Prioritization Scoring Weights'!$A$8), 'Prioritization Scoring Weights'!$C$8, IF(COUNTIFS(Table1[ST Jira HOS'#], A19, Table1[Number of properties], 'Prioritization Scoring Weights'!$A$9), 'Prioritization Scoring Weights'!$C$9, 0)))</f>
        <v>4</v>
      </c>
      <c r="D19">
        <f>IF(COUNTIFS(Table1[ST Jira HOS'#],A19, Table1[GRR Impact], 'Prioritization Scoring Weights'!$A$12), 'Prioritization Scoring Weights'!$C$12, IF(COUNTIFS(Table1[ST Jira HOS'#], A19, Table1[GRR Impact], 'Prioritization Scoring Weights'!$A$13), 'Prioritization Scoring Weights'!$C$13, IF(COUNTIFS(Table1[ST Jira HOS'#], A19, Table1[GRR Impact], 'Prioritization Scoring Weights'!$A$14), 'Prioritization Scoring Weights'!$C$14, 0)))</f>
        <v>1</v>
      </c>
      <c r="E19">
        <f>IF(COUNTIFS(Table1[ST Jira HOS'#], A19,Table1[Upscale Impact], 'Prioritization Scoring Weights'!$A$17), 'Prioritization Scoring Weights'!$C$17,0)</f>
        <v>2</v>
      </c>
      <c r="F19">
        <f>IF(COUNTIFS(Table1[ST Jira HOS'#], A19, Table1[Guest Satisfaction Impact], 'Prioritization Scoring Weights'!$A$20), 'Prioritization Scoring Weights'!$C$20, IF(COUNTIFS(Table1[ST Jira HOS'#],A19, Table1[Guest Satisfaction Impact], 'Prioritization Scoring Weights'!$A$21), 'Prioritization Scoring Weights'!$C$21, IF(COUNTIFS(Table1[ST Jira HOS'#], A19, Table1[Guest Satisfaction Impact], 'Prioritization Scoring Weights'!$A$22), 'Prioritization Scoring Weights'!$C$22, 0)))</f>
        <v>3</v>
      </c>
      <c r="G19">
        <f>IF(COUNTIFS(Table1[ST Jira HOS'#], A19,Table1[Program/Function Dependency], 'Prioritization Scoring Weights'!$A$25), 'Prioritization Scoring Weights'!$C$25,0)</f>
        <v>0</v>
      </c>
      <c r="H19">
        <f>IF(COUNTIFS(Table1[ST Jira HOS'#], A19,Table1[Repeating Problem], 'Prioritization Scoring Weights'!$A$28), 'Prioritization Scoring Weights'!$C$28,0)</f>
        <v>0</v>
      </c>
      <c r="I19">
        <f>SUM(B19,C19,D19,E19,F19, Calc[[#This Row],[Program Dependency]], Calc[[#This Row],[Repeating Problem]])</f>
        <v>14</v>
      </c>
      <c r="J19" t="str">
        <f>IF(I19&gt;='Prioritization Scoring Weights'!$B$37,'Prioritization Scoring Weights'!$C$37,IF(I19&gt;='Prioritization Scoring Weights'!$B$36,'Prioritization Scoring Weights'!$C$36,IF(I19&gt;='Prioritization Scoring Weights'!$B$35,'Prioritization Scoring Weights'!$C$35,IF(I19&gt;='Prioritization Scoring Weights'!$B$34,'Prioritization Scoring Weights'!$C$34,'Prioritization Scoring Weights'!$C$33))))</f>
        <v>High</v>
      </c>
    </row>
    <row r="20" spans="1:10" x14ac:dyDescent="0.3">
      <c r="A20" t="str">
        <f>'Open Defects'!B25</f>
        <v>HOS-13227</v>
      </c>
      <c r="B20">
        <f>IF(COUNTIFS(Table1[ST Jira HOS'#],A20,Table1[Work around?], 'Prioritization Scoring Weights'!$A$3), 'Prioritization Scoring Weights'!$C$3,0)</f>
        <v>4</v>
      </c>
      <c r="C20">
        <f>IF(COUNTIFS(Table1[ST Jira HOS'#],A20, Table1[Number of properties], 'Prioritization Scoring Weights'!$A$7), 'Prioritization Scoring Weights'!$C$7, IF(COUNTIFS(Table1[ST Jira HOS'#],A20, Table1[Number of properties], 'Prioritization Scoring Weights'!$A$8), 'Prioritization Scoring Weights'!$C$8, IF(COUNTIFS(Table1[ST Jira HOS'#], A20, Table1[Number of properties], 'Prioritization Scoring Weights'!$A$9), 'Prioritization Scoring Weights'!$C$9, 0)))</f>
        <v>4</v>
      </c>
      <c r="D20">
        <f>IF(COUNTIFS(Table1[ST Jira HOS'#],A20, Table1[GRR Impact], 'Prioritization Scoring Weights'!$A$12), 'Prioritization Scoring Weights'!$C$12, IF(COUNTIFS(Table1[ST Jira HOS'#], A20, Table1[GRR Impact], 'Prioritization Scoring Weights'!$A$13), 'Prioritization Scoring Weights'!$C$13, IF(COUNTIFS(Table1[ST Jira HOS'#], A20, Table1[GRR Impact], 'Prioritization Scoring Weights'!$A$14), 'Prioritization Scoring Weights'!$C$14, 0)))</f>
        <v>3</v>
      </c>
      <c r="E20">
        <f>IF(COUNTIFS(Table1[ST Jira HOS'#], A20,Table1[Upscale Impact], 'Prioritization Scoring Weights'!$A$17), 'Prioritization Scoring Weights'!$C$17,0)</f>
        <v>2</v>
      </c>
      <c r="F20">
        <f>IF(COUNTIFS(Table1[ST Jira HOS'#], A20, Table1[Guest Satisfaction Impact], 'Prioritization Scoring Weights'!$A$20), 'Prioritization Scoring Weights'!$C$20, IF(COUNTIFS(Table1[ST Jira HOS'#],A20, Table1[Guest Satisfaction Impact], 'Prioritization Scoring Weights'!$A$21), 'Prioritization Scoring Weights'!$C$21, IF(COUNTIFS(Table1[ST Jira HOS'#], A20, Table1[Guest Satisfaction Impact], 'Prioritization Scoring Weights'!$A$22), 'Prioritization Scoring Weights'!$C$22, 0)))</f>
        <v>1</v>
      </c>
      <c r="G20">
        <f>IF(COUNTIFS(Table1[ST Jira HOS'#], A20,Table1[Program/Function Dependency], 'Prioritization Scoring Weights'!$A$25), 'Prioritization Scoring Weights'!$C$25,0)</f>
        <v>0</v>
      </c>
      <c r="H20">
        <f>IF(COUNTIFS(Table1[ST Jira HOS'#], A20,Table1[Repeating Problem], 'Prioritization Scoring Weights'!$A$28), 'Prioritization Scoring Weights'!$C$28,0)</f>
        <v>0</v>
      </c>
      <c r="I20">
        <f>SUM(B20,C20,D20,E20,F20, Calc[[#This Row],[Program Dependency]], Calc[[#This Row],[Repeating Problem]])</f>
        <v>14</v>
      </c>
      <c r="J20" t="str">
        <f>IF(I20&gt;='Prioritization Scoring Weights'!$B$37,'Prioritization Scoring Weights'!$C$37,IF(I20&gt;='Prioritization Scoring Weights'!$B$36,'Prioritization Scoring Weights'!$C$36,IF(I20&gt;='Prioritization Scoring Weights'!$B$35,'Prioritization Scoring Weights'!$C$35,IF(I20&gt;='Prioritization Scoring Weights'!$B$34,'Prioritization Scoring Weights'!$C$34,'Prioritization Scoring Weights'!$C$33))))</f>
        <v>High</v>
      </c>
    </row>
    <row r="21" spans="1:10" x14ac:dyDescent="0.3">
      <c r="A21" t="str">
        <f>'Open Defects'!B26</f>
        <v>HOS-657</v>
      </c>
      <c r="B21">
        <f>IF(COUNTIFS(Table1[ST Jira HOS'#],A21,Table1[Work around?], 'Prioritization Scoring Weights'!$A$3), 'Prioritization Scoring Weights'!$C$3,0)</f>
        <v>4</v>
      </c>
      <c r="C21">
        <f>IF(COUNTIFS(Table1[ST Jira HOS'#],A21, Table1[Number of properties], 'Prioritization Scoring Weights'!$A$7), 'Prioritization Scoring Weights'!$C$7, IF(COUNTIFS(Table1[ST Jira HOS'#],A21, Table1[Number of properties], 'Prioritization Scoring Weights'!$A$8), 'Prioritization Scoring Weights'!$C$8, IF(COUNTIFS(Table1[ST Jira HOS'#], A21, Table1[Number of properties], 'Prioritization Scoring Weights'!$A$9), 'Prioritization Scoring Weights'!$C$9, 0)))</f>
        <v>4</v>
      </c>
      <c r="D21">
        <f>IF(COUNTIFS(Table1[ST Jira HOS'#],A21, Table1[GRR Impact], 'Prioritization Scoring Weights'!$A$12), 'Prioritization Scoring Weights'!$C$12, IF(COUNTIFS(Table1[ST Jira HOS'#], A21, Table1[GRR Impact], 'Prioritization Scoring Weights'!$A$13), 'Prioritization Scoring Weights'!$C$13, IF(COUNTIFS(Table1[ST Jira HOS'#], A21, Table1[GRR Impact], 'Prioritization Scoring Weights'!$A$14), 'Prioritization Scoring Weights'!$C$14, 0)))</f>
        <v>1</v>
      </c>
      <c r="E21">
        <f>IF(COUNTIFS(Table1[ST Jira HOS'#], A21,Table1[Upscale Impact], 'Prioritization Scoring Weights'!$A$17), 'Prioritization Scoring Weights'!$C$17,0)</f>
        <v>2</v>
      </c>
      <c r="F21">
        <f>IF(COUNTIFS(Table1[ST Jira HOS'#], A21, Table1[Guest Satisfaction Impact], 'Prioritization Scoring Weights'!$A$20), 'Prioritization Scoring Weights'!$C$20, IF(COUNTIFS(Table1[ST Jira HOS'#],A21, Table1[Guest Satisfaction Impact], 'Prioritization Scoring Weights'!$A$21), 'Prioritization Scoring Weights'!$C$21, IF(COUNTIFS(Table1[ST Jira HOS'#], A21, Table1[Guest Satisfaction Impact], 'Prioritization Scoring Weights'!$A$22), 'Prioritization Scoring Weights'!$C$22, 0)))</f>
        <v>2</v>
      </c>
      <c r="G21">
        <f>IF(COUNTIFS(Table1[ST Jira HOS'#], A21,Table1[Program/Function Dependency], 'Prioritization Scoring Weights'!$A$25), 'Prioritization Scoring Weights'!$C$25,0)</f>
        <v>0</v>
      </c>
      <c r="H21">
        <f>IF(COUNTIFS(Table1[ST Jira HOS'#], A21,Table1[Repeating Problem], 'Prioritization Scoring Weights'!$A$28), 'Prioritization Scoring Weights'!$C$28,0)</f>
        <v>0</v>
      </c>
      <c r="I21">
        <f>SUM(B21,C21,D21,E21,F21, Calc[[#This Row],[Program Dependency]], Calc[[#This Row],[Repeating Problem]])</f>
        <v>13</v>
      </c>
      <c r="J21" t="str">
        <f>IF(I21&gt;='Prioritization Scoring Weights'!$B$37,'Prioritization Scoring Weights'!$C$37,IF(I21&gt;='Prioritization Scoring Weights'!$B$36,'Prioritization Scoring Weights'!$C$36,IF(I21&gt;='Prioritization Scoring Weights'!$B$35,'Prioritization Scoring Weights'!$C$35,IF(I21&gt;='Prioritization Scoring Weights'!$B$34,'Prioritization Scoring Weights'!$C$34,'Prioritization Scoring Weights'!$C$33))))</f>
        <v>Medium</v>
      </c>
    </row>
    <row r="22" spans="1:10" x14ac:dyDescent="0.3">
      <c r="A22" t="str">
        <f>'Open Defects'!B27</f>
        <v>HOS-16405</v>
      </c>
      <c r="B22">
        <f>IF(COUNTIFS(Table1[ST Jira HOS'#],A22,Table1[Work around?], 'Prioritization Scoring Weights'!$A$3), 'Prioritization Scoring Weights'!$C$3,0)</f>
        <v>0</v>
      </c>
      <c r="C22">
        <f>IF(COUNTIFS(Table1[ST Jira HOS'#],A22, Table1[Number of properties], 'Prioritization Scoring Weights'!$A$7), 'Prioritization Scoring Weights'!$C$7, IF(COUNTIFS(Table1[ST Jira HOS'#],A22, Table1[Number of properties], 'Prioritization Scoring Weights'!$A$8), 'Prioritization Scoring Weights'!$C$8, IF(COUNTIFS(Table1[ST Jira HOS'#], A22, Table1[Number of properties], 'Prioritization Scoring Weights'!$A$9), 'Prioritization Scoring Weights'!$C$9, 0)))</f>
        <v>4</v>
      </c>
      <c r="D22">
        <f>IF(COUNTIFS(Table1[ST Jira HOS'#],A22, Table1[GRR Impact], 'Prioritization Scoring Weights'!$A$12), 'Prioritization Scoring Weights'!$C$12, IF(COUNTIFS(Table1[ST Jira HOS'#], A22, Table1[GRR Impact], 'Prioritization Scoring Weights'!$A$13), 'Prioritization Scoring Weights'!$C$13, IF(COUNTIFS(Table1[ST Jira HOS'#], A22, Table1[GRR Impact], 'Prioritization Scoring Weights'!$A$14), 'Prioritization Scoring Weights'!$C$14, 0)))</f>
        <v>1</v>
      </c>
      <c r="E22">
        <f>IF(COUNTIFS(Table1[ST Jira HOS'#], A22,Table1[Upscale Impact], 'Prioritization Scoring Weights'!$A$17), 'Prioritization Scoring Weights'!$C$17,0)</f>
        <v>2</v>
      </c>
      <c r="F22">
        <f>IF(COUNTIFS(Table1[ST Jira HOS'#], A22, Table1[Guest Satisfaction Impact], 'Prioritization Scoring Weights'!$A$20), 'Prioritization Scoring Weights'!$C$20, IF(COUNTIFS(Table1[ST Jira HOS'#],A22, Table1[Guest Satisfaction Impact], 'Prioritization Scoring Weights'!$A$21), 'Prioritization Scoring Weights'!$C$21, IF(COUNTIFS(Table1[ST Jira HOS'#], A22, Table1[Guest Satisfaction Impact], 'Prioritization Scoring Weights'!$A$22), 'Prioritization Scoring Weights'!$C$22, 0)))</f>
        <v>3</v>
      </c>
      <c r="G22">
        <f>IF(COUNTIFS(Table1[ST Jira HOS'#], A22,Table1[Program/Function Dependency], 'Prioritization Scoring Weights'!$A$25), 'Prioritization Scoring Weights'!$C$25,0)</f>
        <v>0</v>
      </c>
      <c r="H22">
        <f>IF(COUNTIFS(Table1[ST Jira HOS'#], A22,Table1[Repeating Problem], 'Prioritization Scoring Weights'!$A$28), 'Prioritization Scoring Weights'!$C$28,0)</f>
        <v>0</v>
      </c>
      <c r="I22">
        <f>SUM(B22,C22,D22,E22,F22, Calc[[#This Row],[Program Dependency]], Calc[[#This Row],[Repeating Problem]])</f>
        <v>10</v>
      </c>
      <c r="J22" t="str">
        <f>IF(I22&gt;='Prioritization Scoring Weights'!$B$37,'Prioritization Scoring Weights'!$C$37,IF(I22&gt;='Prioritization Scoring Weights'!$B$36,'Prioritization Scoring Weights'!$C$36,IF(I22&gt;='Prioritization Scoring Weights'!$B$35,'Prioritization Scoring Weights'!$C$35,IF(I22&gt;='Prioritization Scoring Weights'!$B$34,'Prioritization Scoring Weights'!$C$34,'Prioritization Scoring Weights'!$C$33))))</f>
        <v>Low</v>
      </c>
    </row>
    <row r="23" spans="1:10" x14ac:dyDescent="0.3">
      <c r="A23" t="str">
        <f>'Open Defects'!B28</f>
        <v>HOS-14677</v>
      </c>
      <c r="B23">
        <f>IF(COUNTIFS(Table1[ST Jira HOS'#],A23,Table1[Work around?], 'Prioritization Scoring Weights'!$A$3), 'Prioritization Scoring Weights'!$C$3,0)</f>
        <v>4</v>
      </c>
      <c r="C23">
        <f>IF(COUNTIFS(Table1[ST Jira HOS'#],A23, Table1[Number of properties], 'Prioritization Scoring Weights'!$A$7), 'Prioritization Scoring Weights'!$C$7, IF(COUNTIFS(Table1[ST Jira HOS'#],A23, Table1[Number of properties], 'Prioritization Scoring Weights'!$A$8), 'Prioritization Scoring Weights'!$C$8, IF(COUNTIFS(Table1[ST Jira HOS'#], A23, Table1[Number of properties], 'Prioritization Scoring Weights'!$A$9), 'Prioritization Scoring Weights'!$C$9, 0)))</f>
        <v>4</v>
      </c>
      <c r="D23">
        <f>IF(COUNTIFS(Table1[ST Jira HOS'#],A23, Table1[GRR Impact], 'Prioritization Scoring Weights'!$A$12), 'Prioritization Scoring Weights'!$C$12, IF(COUNTIFS(Table1[ST Jira HOS'#], A23, Table1[GRR Impact], 'Prioritization Scoring Weights'!$A$13), 'Prioritization Scoring Weights'!$C$13, IF(COUNTIFS(Table1[ST Jira HOS'#], A23, Table1[GRR Impact], 'Prioritization Scoring Weights'!$A$14), 'Prioritization Scoring Weights'!$C$14, 0)))</f>
        <v>1</v>
      </c>
      <c r="E23">
        <f>IF(COUNTIFS(Table1[ST Jira HOS'#], A23,Table1[Upscale Impact], 'Prioritization Scoring Weights'!$A$17), 'Prioritization Scoring Weights'!$C$17,0)</f>
        <v>0</v>
      </c>
      <c r="F23">
        <f>IF(COUNTIFS(Table1[ST Jira HOS'#], A23, Table1[Guest Satisfaction Impact], 'Prioritization Scoring Weights'!$A$20), 'Prioritization Scoring Weights'!$C$20, IF(COUNTIFS(Table1[ST Jira HOS'#],A23, Table1[Guest Satisfaction Impact], 'Prioritization Scoring Weights'!$A$21), 'Prioritization Scoring Weights'!$C$21, IF(COUNTIFS(Table1[ST Jira HOS'#], A23, Table1[Guest Satisfaction Impact], 'Prioritization Scoring Weights'!$A$22), 'Prioritization Scoring Weights'!$C$22, 0)))</f>
        <v>3</v>
      </c>
      <c r="G23">
        <f>IF(COUNTIFS(Table1[ST Jira HOS'#], A23,Table1[Program/Function Dependency], 'Prioritization Scoring Weights'!$A$25), 'Prioritization Scoring Weights'!$C$25,0)</f>
        <v>0</v>
      </c>
      <c r="H23">
        <f>IF(COUNTIFS(Table1[ST Jira HOS'#], A23,Table1[Repeating Problem], 'Prioritization Scoring Weights'!$A$28), 'Prioritization Scoring Weights'!$C$28,0)</f>
        <v>0</v>
      </c>
      <c r="I23">
        <f>SUM(B23,C23,D23,E23,F23, Calc[[#This Row],[Program Dependency]], Calc[[#This Row],[Repeating Problem]])</f>
        <v>12</v>
      </c>
      <c r="J23" t="str">
        <f>IF(I23&gt;='Prioritization Scoring Weights'!$B$37,'Prioritization Scoring Weights'!$C$37,IF(I23&gt;='Prioritization Scoring Weights'!$B$36,'Prioritization Scoring Weights'!$C$36,IF(I23&gt;='Prioritization Scoring Weights'!$B$35,'Prioritization Scoring Weights'!$C$35,IF(I23&gt;='Prioritization Scoring Weights'!$B$34,'Prioritization Scoring Weights'!$C$34,'Prioritization Scoring Weights'!$C$33))))</f>
        <v>Medium</v>
      </c>
    </row>
    <row r="24" spans="1:10" x14ac:dyDescent="0.3">
      <c r="A24" t="str">
        <f>'Open Defects'!B29</f>
        <v>HOS-1988</v>
      </c>
      <c r="B24">
        <f>IF(COUNTIFS(Table1[ST Jira HOS'#],A24,Table1[Work around?], 'Prioritization Scoring Weights'!$A$3), 'Prioritization Scoring Weights'!$C$3,0)</f>
        <v>0</v>
      </c>
      <c r="C24">
        <f>IF(COUNTIFS(Table1[ST Jira HOS'#],A24, Table1[Number of properties], 'Prioritization Scoring Weights'!$A$7), 'Prioritization Scoring Weights'!$C$7, IF(COUNTIFS(Table1[ST Jira HOS'#],A24, Table1[Number of properties], 'Prioritization Scoring Weights'!$A$8), 'Prioritization Scoring Weights'!$C$8, IF(COUNTIFS(Table1[ST Jira HOS'#], A24, Table1[Number of properties], 'Prioritization Scoring Weights'!$A$9), 'Prioritization Scoring Weights'!$C$9, 0)))</f>
        <v>4</v>
      </c>
      <c r="D24">
        <f>IF(COUNTIFS(Table1[ST Jira HOS'#],A24, Table1[GRR Impact], 'Prioritization Scoring Weights'!$A$12), 'Prioritization Scoring Weights'!$C$12, IF(COUNTIFS(Table1[ST Jira HOS'#], A24, Table1[GRR Impact], 'Prioritization Scoring Weights'!$A$13), 'Prioritization Scoring Weights'!$C$13, IF(COUNTIFS(Table1[ST Jira HOS'#], A24, Table1[GRR Impact], 'Prioritization Scoring Weights'!$A$14), 'Prioritization Scoring Weights'!$C$14, 0)))</f>
        <v>2</v>
      </c>
      <c r="E24">
        <f>IF(COUNTIFS(Table1[ST Jira HOS'#], A24,Table1[Upscale Impact], 'Prioritization Scoring Weights'!$A$17), 'Prioritization Scoring Weights'!$C$17,0)</f>
        <v>2</v>
      </c>
      <c r="F24">
        <f>IF(COUNTIFS(Table1[ST Jira HOS'#], A24, Table1[Guest Satisfaction Impact], 'Prioritization Scoring Weights'!$A$20), 'Prioritization Scoring Weights'!$C$20, IF(COUNTIFS(Table1[ST Jira HOS'#],A24, Table1[Guest Satisfaction Impact], 'Prioritization Scoring Weights'!$A$21), 'Prioritization Scoring Weights'!$C$21, IF(COUNTIFS(Table1[ST Jira HOS'#], A24, Table1[Guest Satisfaction Impact], 'Prioritization Scoring Weights'!$A$22), 'Prioritization Scoring Weights'!$C$22, 0)))</f>
        <v>1</v>
      </c>
      <c r="G24">
        <f>IF(COUNTIFS(Table1[ST Jira HOS'#], A24,Table1[Program/Function Dependency], 'Prioritization Scoring Weights'!$A$25), 'Prioritization Scoring Weights'!$C$25,0)</f>
        <v>0</v>
      </c>
      <c r="H24">
        <f>IF(COUNTIFS(Table1[ST Jira HOS'#], A24,Table1[Repeating Problem], 'Prioritization Scoring Weights'!$A$28), 'Prioritization Scoring Weights'!$C$28,0)</f>
        <v>0</v>
      </c>
      <c r="I24">
        <f>SUM(B24,C24,D24,E24,F24, Calc[[#This Row],[Program Dependency]], Calc[[#This Row],[Repeating Problem]])</f>
        <v>9</v>
      </c>
      <c r="J24" t="str">
        <f>IF(I24&gt;='Prioritization Scoring Weights'!$B$37,'Prioritization Scoring Weights'!$C$37,IF(I24&gt;='Prioritization Scoring Weights'!$B$36,'Prioritization Scoring Weights'!$C$36,IF(I24&gt;='Prioritization Scoring Weights'!$B$35,'Prioritization Scoring Weights'!$C$35,IF(I24&gt;='Prioritization Scoring Weights'!$B$34,'Prioritization Scoring Weights'!$C$34,'Prioritization Scoring Weights'!$C$33))))</f>
        <v>Low</v>
      </c>
    </row>
    <row r="25" spans="1:10" x14ac:dyDescent="0.3">
      <c r="A25" t="str">
        <f>'Open Defects'!B30</f>
        <v>HOS-2317</v>
      </c>
      <c r="B25">
        <f>IF(COUNTIFS(Table1[ST Jira HOS'#],A25,Table1[Work around?], 'Prioritization Scoring Weights'!$A$3), 'Prioritization Scoring Weights'!$C$3,0)</f>
        <v>4</v>
      </c>
      <c r="C25">
        <f>IF(COUNTIFS(Table1[ST Jira HOS'#],A25, Table1[Number of properties], 'Prioritization Scoring Weights'!$A$7), 'Prioritization Scoring Weights'!$C$7, IF(COUNTIFS(Table1[ST Jira HOS'#],A25, Table1[Number of properties], 'Prioritization Scoring Weights'!$A$8), 'Prioritization Scoring Weights'!$C$8, IF(COUNTIFS(Table1[ST Jira HOS'#], A25, Table1[Number of properties], 'Prioritization Scoring Weights'!$A$9), 'Prioritization Scoring Weights'!$C$9, 0)))</f>
        <v>0</v>
      </c>
      <c r="D25">
        <f>IF(COUNTIFS(Table1[ST Jira HOS'#],A25, Table1[GRR Impact], 'Prioritization Scoring Weights'!$A$12), 'Prioritization Scoring Weights'!$C$12, IF(COUNTIFS(Table1[ST Jira HOS'#], A25, Table1[GRR Impact], 'Prioritization Scoring Weights'!$A$13), 'Prioritization Scoring Weights'!$C$13, IF(COUNTIFS(Table1[ST Jira HOS'#], A25, Table1[GRR Impact], 'Prioritization Scoring Weights'!$A$14), 'Prioritization Scoring Weights'!$C$14, 0)))</f>
        <v>0</v>
      </c>
      <c r="E25">
        <f>IF(COUNTIFS(Table1[ST Jira HOS'#], A25,Table1[Upscale Impact], 'Prioritization Scoring Weights'!$A$17), 'Prioritization Scoring Weights'!$C$17,0)</f>
        <v>0</v>
      </c>
      <c r="F25">
        <f>IF(COUNTIFS(Table1[ST Jira HOS'#], A25, Table1[Guest Satisfaction Impact], 'Prioritization Scoring Weights'!$A$20), 'Prioritization Scoring Weights'!$C$20, IF(COUNTIFS(Table1[ST Jira HOS'#],A25, Table1[Guest Satisfaction Impact], 'Prioritization Scoring Weights'!$A$21), 'Prioritization Scoring Weights'!$C$21, IF(COUNTIFS(Table1[ST Jira HOS'#], A25, Table1[Guest Satisfaction Impact], 'Prioritization Scoring Weights'!$A$22), 'Prioritization Scoring Weights'!$C$22, 0)))</f>
        <v>0</v>
      </c>
      <c r="G25">
        <f>IF(COUNTIFS(Table1[ST Jira HOS'#], A25,Table1[Program/Function Dependency], 'Prioritization Scoring Weights'!$A$25), 'Prioritization Scoring Weights'!$C$25,0)</f>
        <v>0</v>
      </c>
      <c r="H25">
        <f>IF(COUNTIFS(Table1[ST Jira HOS'#], A25,Table1[Repeating Problem], 'Prioritization Scoring Weights'!$A$28), 'Prioritization Scoring Weights'!$C$28,0)</f>
        <v>0</v>
      </c>
      <c r="I25">
        <f>SUM(B25,C25,D25,E25,F25, Calc[[#This Row],[Program Dependency]], Calc[[#This Row],[Repeating Problem]])</f>
        <v>4</v>
      </c>
      <c r="J25" t="str">
        <f>IF(I25&gt;='Prioritization Scoring Weights'!$B$37,'Prioritization Scoring Weights'!$C$37,IF(I25&gt;='Prioritization Scoring Weights'!$B$36,'Prioritization Scoring Weights'!$C$36,IF(I25&gt;='Prioritization Scoring Weights'!$B$35,'Prioritization Scoring Weights'!$C$35,IF(I25&gt;='Prioritization Scoring Weights'!$B$34,'Prioritization Scoring Weights'!$C$34,'Prioritization Scoring Weights'!$C$33))))</f>
        <v>Very Low</v>
      </c>
    </row>
    <row r="26" spans="1:10" x14ac:dyDescent="0.3">
      <c r="A26" t="str">
        <f>'Open Defects'!B31</f>
        <v>HOS-17252</v>
      </c>
      <c r="B26">
        <f>IF(COUNTIFS(Table1[ST Jira HOS'#],A26,Table1[Work around?], 'Prioritization Scoring Weights'!$A$3), 'Prioritization Scoring Weights'!$C$3,0)</f>
        <v>4</v>
      </c>
      <c r="C26">
        <f>IF(COUNTIFS(Table1[ST Jira HOS'#],A26, Table1[Number of properties], 'Prioritization Scoring Weights'!$A$7), 'Prioritization Scoring Weights'!$C$7, IF(COUNTIFS(Table1[ST Jira HOS'#],A26, Table1[Number of properties], 'Prioritization Scoring Weights'!$A$8), 'Prioritization Scoring Weights'!$C$8, IF(COUNTIFS(Table1[ST Jira HOS'#], A26, Table1[Number of properties], 'Prioritization Scoring Weights'!$A$9), 'Prioritization Scoring Weights'!$C$9, 0)))</f>
        <v>4</v>
      </c>
      <c r="D26">
        <f>IF(COUNTIFS(Table1[ST Jira HOS'#],A26, Table1[GRR Impact], 'Prioritization Scoring Weights'!$A$12), 'Prioritization Scoring Weights'!$C$12, IF(COUNTIFS(Table1[ST Jira HOS'#], A26, Table1[GRR Impact], 'Prioritization Scoring Weights'!$A$13), 'Prioritization Scoring Weights'!$C$13, IF(COUNTIFS(Table1[ST Jira HOS'#], A26, Table1[GRR Impact], 'Prioritization Scoring Weights'!$A$14), 'Prioritization Scoring Weights'!$C$14, 0)))</f>
        <v>2</v>
      </c>
      <c r="E26">
        <f>IF(COUNTIFS(Table1[ST Jira HOS'#], A26,Table1[Upscale Impact], 'Prioritization Scoring Weights'!$A$17), 'Prioritization Scoring Weights'!$C$17,0)</f>
        <v>2</v>
      </c>
      <c r="F26">
        <f>IF(COUNTIFS(Table1[ST Jira HOS'#], A26, Table1[Guest Satisfaction Impact], 'Prioritization Scoring Weights'!$A$20), 'Prioritization Scoring Weights'!$C$20, IF(COUNTIFS(Table1[ST Jira HOS'#],A26, Table1[Guest Satisfaction Impact], 'Prioritization Scoring Weights'!$A$21), 'Prioritization Scoring Weights'!$C$21, IF(COUNTIFS(Table1[ST Jira HOS'#], A26, Table1[Guest Satisfaction Impact], 'Prioritization Scoring Weights'!$A$22), 'Prioritization Scoring Weights'!$C$22, 0)))</f>
        <v>1</v>
      </c>
      <c r="G26">
        <f>IF(COUNTIFS(Table1[ST Jira HOS'#], A26,Table1[Program/Function Dependency], 'Prioritization Scoring Weights'!$A$25), 'Prioritization Scoring Weights'!$C$25,0)</f>
        <v>2</v>
      </c>
      <c r="H26">
        <f>IF(COUNTIFS(Table1[ST Jira HOS'#], A26,Table1[Repeating Problem], 'Prioritization Scoring Weights'!$A$28), 'Prioritization Scoring Weights'!$C$28,0)</f>
        <v>0</v>
      </c>
      <c r="I26">
        <f>SUM(B26,C26,D26,E26,F26, Calc[[#This Row],[Program Dependency]], Calc[[#This Row],[Repeating Problem]])</f>
        <v>15</v>
      </c>
      <c r="J26" t="str">
        <f>IF(I26&gt;='Prioritization Scoring Weights'!$B$37,'Prioritization Scoring Weights'!$C$37,IF(I26&gt;='Prioritization Scoring Weights'!$B$36,'Prioritization Scoring Weights'!$C$36,IF(I26&gt;='Prioritization Scoring Weights'!$B$35,'Prioritization Scoring Weights'!$C$35,IF(I26&gt;='Prioritization Scoring Weights'!$B$34,'Prioritization Scoring Weights'!$C$34,'Prioritization Scoring Weights'!$C$33))))</f>
        <v>High</v>
      </c>
    </row>
    <row r="27" spans="1:10" x14ac:dyDescent="0.3">
      <c r="A27" t="str">
        <f>'Open Defects'!B32</f>
        <v>HOS-17271</v>
      </c>
      <c r="B27">
        <f>IF(COUNTIFS(Table1[ST Jira HOS'#],A27,Table1[Work around?], 'Prioritization Scoring Weights'!$A$3), 'Prioritization Scoring Weights'!$C$3,0)</f>
        <v>4</v>
      </c>
      <c r="C27">
        <f>IF(COUNTIFS(Table1[ST Jira HOS'#],A27, Table1[Number of properties], 'Prioritization Scoring Weights'!$A$7), 'Prioritization Scoring Weights'!$C$7, IF(COUNTIFS(Table1[ST Jira HOS'#],A27, Table1[Number of properties], 'Prioritization Scoring Weights'!$A$8), 'Prioritization Scoring Weights'!$C$8, IF(COUNTIFS(Table1[ST Jira HOS'#], A27, Table1[Number of properties], 'Prioritization Scoring Weights'!$A$9), 'Prioritization Scoring Weights'!$C$9, 0)))</f>
        <v>4</v>
      </c>
      <c r="D27">
        <f>IF(COUNTIFS(Table1[ST Jira HOS'#],A27, Table1[GRR Impact], 'Prioritization Scoring Weights'!$A$12), 'Prioritization Scoring Weights'!$C$12, IF(COUNTIFS(Table1[ST Jira HOS'#], A27, Table1[GRR Impact], 'Prioritization Scoring Weights'!$A$13), 'Prioritization Scoring Weights'!$C$13, IF(COUNTIFS(Table1[ST Jira HOS'#], A27, Table1[GRR Impact], 'Prioritization Scoring Weights'!$A$14), 'Prioritization Scoring Weights'!$C$14, 0)))</f>
        <v>1</v>
      </c>
      <c r="E27">
        <f>IF(COUNTIFS(Table1[ST Jira HOS'#], A27,Table1[Upscale Impact], 'Prioritization Scoring Weights'!$A$17), 'Prioritization Scoring Weights'!$C$17,0)</f>
        <v>0</v>
      </c>
      <c r="F27">
        <f>IF(COUNTIFS(Table1[ST Jira HOS'#], A27, Table1[Guest Satisfaction Impact], 'Prioritization Scoring Weights'!$A$20), 'Prioritization Scoring Weights'!$C$20, IF(COUNTIFS(Table1[ST Jira HOS'#],A27, Table1[Guest Satisfaction Impact], 'Prioritization Scoring Weights'!$A$21), 'Prioritization Scoring Weights'!$C$21, IF(COUNTIFS(Table1[ST Jira HOS'#], A27, Table1[Guest Satisfaction Impact], 'Prioritization Scoring Weights'!$A$22), 'Prioritization Scoring Weights'!$C$22, 0)))</f>
        <v>3</v>
      </c>
      <c r="G27">
        <f>IF(COUNTIFS(Table1[ST Jira HOS'#], A27,Table1[Program/Function Dependency], 'Prioritization Scoring Weights'!$A$25), 'Prioritization Scoring Weights'!$C$25,0)</f>
        <v>0</v>
      </c>
      <c r="H27">
        <f>IF(COUNTIFS(Table1[ST Jira HOS'#], A27,Table1[Repeating Problem], 'Prioritization Scoring Weights'!$A$28), 'Prioritization Scoring Weights'!$C$28,0)</f>
        <v>0</v>
      </c>
      <c r="I27">
        <f>SUM(B27,C27,D27,E27,F27, Calc[[#This Row],[Program Dependency]], Calc[[#This Row],[Repeating Problem]])</f>
        <v>12</v>
      </c>
      <c r="J27" t="str">
        <f>IF(I27&gt;='Prioritization Scoring Weights'!$B$37,'Prioritization Scoring Weights'!$C$37,IF(I27&gt;='Prioritization Scoring Weights'!$B$36,'Prioritization Scoring Weights'!$C$36,IF(I27&gt;='Prioritization Scoring Weights'!$B$35,'Prioritization Scoring Weights'!$C$35,IF(I27&gt;='Prioritization Scoring Weights'!$B$34,'Prioritization Scoring Weights'!$C$34,'Prioritization Scoring Weights'!$C$33))))</f>
        <v>Medium</v>
      </c>
    </row>
    <row r="28" spans="1:10" x14ac:dyDescent="0.3">
      <c r="A28" t="str">
        <f>'Open Defects'!B33</f>
        <v xml:space="preserve">HOS-15934 </v>
      </c>
      <c r="B28">
        <f>IF(COUNTIFS(Table1[ST Jira HOS'#],A28,Table1[Work around?], 'Prioritization Scoring Weights'!$A$3), 'Prioritization Scoring Weights'!$C$3,0)</f>
        <v>0</v>
      </c>
      <c r="C28">
        <f>IF(COUNTIFS(Table1[ST Jira HOS'#],A28, Table1[Number of properties], 'Prioritization Scoring Weights'!$A$7), 'Prioritization Scoring Weights'!$C$7, IF(COUNTIFS(Table1[ST Jira HOS'#],A28, Table1[Number of properties], 'Prioritization Scoring Weights'!$A$8), 'Prioritization Scoring Weights'!$C$8, IF(COUNTIFS(Table1[ST Jira HOS'#], A28, Table1[Number of properties], 'Prioritization Scoring Weights'!$A$9), 'Prioritization Scoring Weights'!$C$9, 0)))</f>
        <v>4</v>
      </c>
      <c r="D28">
        <f>IF(COUNTIFS(Table1[ST Jira HOS'#],A28, Table1[GRR Impact], 'Prioritization Scoring Weights'!$A$12), 'Prioritization Scoring Weights'!$C$12, IF(COUNTIFS(Table1[ST Jira HOS'#], A28, Table1[GRR Impact], 'Prioritization Scoring Weights'!$A$13), 'Prioritization Scoring Weights'!$C$13, IF(COUNTIFS(Table1[ST Jira HOS'#], A28, Table1[GRR Impact], 'Prioritization Scoring Weights'!$A$14), 'Prioritization Scoring Weights'!$C$14, 0)))</f>
        <v>2</v>
      </c>
      <c r="E28">
        <f>IF(COUNTIFS(Table1[ST Jira HOS'#], A28,Table1[Upscale Impact], 'Prioritization Scoring Weights'!$A$17), 'Prioritization Scoring Weights'!$C$17,0)</f>
        <v>2</v>
      </c>
      <c r="F28">
        <f>IF(COUNTIFS(Table1[ST Jira HOS'#], A28, Table1[Guest Satisfaction Impact], 'Prioritization Scoring Weights'!$A$20), 'Prioritization Scoring Weights'!$C$20, IF(COUNTIFS(Table1[ST Jira HOS'#],A28, Table1[Guest Satisfaction Impact], 'Prioritization Scoring Weights'!$A$21), 'Prioritization Scoring Weights'!$C$21, IF(COUNTIFS(Table1[ST Jira HOS'#], A28, Table1[Guest Satisfaction Impact], 'Prioritization Scoring Weights'!$A$22), 'Prioritization Scoring Weights'!$C$22, 0)))</f>
        <v>2</v>
      </c>
      <c r="G28">
        <f>IF(COUNTIFS(Table1[ST Jira HOS'#], A28,Table1[Program/Function Dependency], 'Prioritization Scoring Weights'!$A$25), 'Prioritization Scoring Weights'!$C$25,0)</f>
        <v>0</v>
      </c>
      <c r="H28">
        <f>IF(COUNTIFS(Table1[ST Jira HOS'#], A28,Table1[Repeating Problem], 'Prioritization Scoring Weights'!$A$28), 'Prioritization Scoring Weights'!$C$28,0)</f>
        <v>2</v>
      </c>
      <c r="I28">
        <f>SUM(B28,C28,D28,E28,F28, Calc[[#This Row],[Program Dependency]], Calc[[#This Row],[Repeating Problem]])</f>
        <v>12</v>
      </c>
      <c r="J28" t="str">
        <f>IF(I28&gt;='Prioritization Scoring Weights'!$B$37,'Prioritization Scoring Weights'!$C$37,IF(I28&gt;='Prioritization Scoring Weights'!$B$36,'Prioritization Scoring Weights'!$C$36,IF(I28&gt;='Prioritization Scoring Weights'!$B$35,'Prioritization Scoring Weights'!$C$35,IF(I28&gt;='Prioritization Scoring Weights'!$B$34,'Prioritization Scoring Weights'!$C$34,'Prioritization Scoring Weights'!$C$33))))</f>
        <v>Medium</v>
      </c>
    </row>
    <row r="29" spans="1:10" x14ac:dyDescent="0.3">
      <c r="A29" t="str">
        <f>'Open Defects'!B34</f>
        <v>HOS-1398</v>
      </c>
      <c r="B29">
        <f>IF(COUNTIFS(Table1[ST Jira HOS'#],A29,Table1[Work around?], 'Prioritization Scoring Weights'!$A$3), 'Prioritization Scoring Weights'!$C$3,0)</f>
        <v>4</v>
      </c>
      <c r="C29">
        <f>IF(COUNTIFS(Table1[ST Jira HOS'#],A29, Table1[Number of properties], 'Prioritization Scoring Weights'!$A$7), 'Prioritization Scoring Weights'!$C$7, IF(COUNTIFS(Table1[ST Jira HOS'#],A29, Table1[Number of properties], 'Prioritization Scoring Weights'!$A$8), 'Prioritization Scoring Weights'!$C$8, IF(COUNTIFS(Table1[ST Jira HOS'#], A29, Table1[Number of properties], 'Prioritization Scoring Weights'!$A$9), 'Prioritization Scoring Weights'!$C$9, 0)))</f>
        <v>3</v>
      </c>
      <c r="D29">
        <f>IF(COUNTIFS(Table1[ST Jira HOS'#],A29, Table1[GRR Impact], 'Prioritization Scoring Weights'!$A$12), 'Prioritization Scoring Weights'!$C$12, IF(COUNTIFS(Table1[ST Jira HOS'#], A29, Table1[GRR Impact], 'Prioritization Scoring Weights'!$A$13), 'Prioritization Scoring Weights'!$C$13, IF(COUNTIFS(Table1[ST Jira HOS'#], A29, Table1[GRR Impact], 'Prioritization Scoring Weights'!$A$14), 'Prioritization Scoring Weights'!$C$14, 0)))</f>
        <v>1</v>
      </c>
      <c r="E29">
        <f>IF(COUNTIFS(Table1[ST Jira HOS'#], A29,Table1[Upscale Impact], 'Prioritization Scoring Weights'!$A$17), 'Prioritization Scoring Weights'!$C$17,0)</f>
        <v>0</v>
      </c>
      <c r="F29">
        <f>IF(COUNTIFS(Table1[ST Jira HOS'#], A29, Table1[Guest Satisfaction Impact], 'Prioritization Scoring Weights'!$A$20), 'Prioritization Scoring Weights'!$C$20, IF(COUNTIFS(Table1[ST Jira HOS'#],A29, Table1[Guest Satisfaction Impact], 'Prioritization Scoring Weights'!$A$21), 'Prioritization Scoring Weights'!$C$21, IF(COUNTIFS(Table1[ST Jira HOS'#], A29, Table1[Guest Satisfaction Impact], 'Prioritization Scoring Weights'!$A$22), 'Prioritization Scoring Weights'!$C$22, 0)))</f>
        <v>3</v>
      </c>
      <c r="G29">
        <f>IF(COUNTIFS(Table1[ST Jira HOS'#], A29,Table1[Program/Function Dependency], 'Prioritization Scoring Weights'!$A$25), 'Prioritization Scoring Weights'!$C$25,0)</f>
        <v>0</v>
      </c>
      <c r="H29">
        <f>IF(COUNTIFS(Table1[ST Jira HOS'#], A29,Table1[Repeating Problem], 'Prioritization Scoring Weights'!$A$28), 'Prioritization Scoring Weights'!$C$28,0)</f>
        <v>0</v>
      </c>
      <c r="I29">
        <f>SUM(B29,C29,D29,E29,F29, Calc[[#This Row],[Program Dependency]], Calc[[#This Row],[Repeating Problem]])</f>
        <v>11</v>
      </c>
      <c r="J29" t="str">
        <f>IF(I29&gt;='Prioritization Scoring Weights'!$B$37,'Prioritization Scoring Weights'!$C$37,IF(I29&gt;='Prioritization Scoring Weights'!$B$36,'Prioritization Scoring Weights'!$C$36,IF(I29&gt;='Prioritization Scoring Weights'!$B$35,'Prioritization Scoring Weights'!$C$35,IF(I29&gt;='Prioritization Scoring Weights'!$B$34,'Prioritization Scoring Weights'!$C$34,'Prioritization Scoring Weights'!$C$33))))</f>
        <v>Low</v>
      </c>
    </row>
    <row r="30" spans="1:10" x14ac:dyDescent="0.3">
      <c r="A30" t="str">
        <f>'Open Defects'!B35</f>
        <v>HOS-2445</v>
      </c>
      <c r="B30">
        <f>IF(COUNTIFS(Table1[ST Jira HOS'#],A30,Table1[Work around?], 'Prioritization Scoring Weights'!$A$3), 'Prioritization Scoring Weights'!$C$3,0)</f>
        <v>0</v>
      </c>
      <c r="C30">
        <f>IF(COUNTIFS(Table1[ST Jira HOS'#],A30, Table1[Number of properties], 'Prioritization Scoring Weights'!$A$7), 'Prioritization Scoring Weights'!$C$7, IF(COUNTIFS(Table1[ST Jira HOS'#],A30, Table1[Number of properties], 'Prioritization Scoring Weights'!$A$8), 'Prioritization Scoring Weights'!$C$8, IF(COUNTIFS(Table1[ST Jira HOS'#], A30, Table1[Number of properties], 'Prioritization Scoring Weights'!$A$9), 'Prioritization Scoring Weights'!$C$9, 0)))</f>
        <v>4</v>
      </c>
      <c r="D30">
        <f>IF(COUNTIFS(Table1[ST Jira HOS'#],A30, Table1[GRR Impact], 'Prioritization Scoring Weights'!$A$12), 'Prioritization Scoring Weights'!$C$12, IF(COUNTIFS(Table1[ST Jira HOS'#], A30, Table1[GRR Impact], 'Prioritization Scoring Weights'!$A$13), 'Prioritization Scoring Weights'!$C$13, IF(COUNTIFS(Table1[ST Jira HOS'#], A30, Table1[GRR Impact], 'Prioritization Scoring Weights'!$A$14), 'Prioritization Scoring Weights'!$C$14, 0)))</f>
        <v>1</v>
      </c>
      <c r="E30">
        <f>IF(COUNTIFS(Table1[ST Jira HOS'#], A30,Table1[Upscale Impact], 'Prioritization Scoring Weights'!$A$17), 'Prioritization Scoring Weights'!$C$17,0)</f>
        <v>2</v>
      </c>
      <c r="F30">
        <f>IF(COUNTIFS(Table1[ST Jira HOS'#], A30, Table1[Guest Satisfaction Impact], 'Prioritization Scoring Weights'!$A$20), 'Prioritization Scoring Weights'!$C$20, IF(COUNTIFS(Table1[ST Jira HOS'#],A30, Table1[Guest Satisfaction Impact], 'Prioritization Scoring Weights'!$A$21), 'Prioritization Scoring Weights'!$C$21, IF(COUNTIFS(Table1[ST Jira HOS'#], A30, Table1[Guest Satisfaction Impact], 'Prioritization Scoring Weights'!$A$22), 'Prioritization Scoring Weights'!$C$22, 0)))</f>
        <v>3</v>
      </c>
      <c r="G30">
        <f>IF(COUNTIFS(Table1[ST Jira HOS'#], A30,Table1[Program/Function Dependency], 'Prioritization Scoring Weights'!$A$25), 'Prioritization Scoring Weights'!$C$25,0)</f>
        <v>0</v>
      </c>
      <c r="H30">
        <f>IF(COUNTIFS(Table1[ST Jira HOS'#], A30,Table1[Repeating Problem], 'Prioritization Scoring Weights'!$A$28), 'Prioritization Scoring Weights'!$C$28,0)</f>
        <v>0</v>
      </c>
      <c r="I30">
        <f>SUM(B30,C30,D30,E30,F30, Calc[[#This Row],[Program Dependency]], Calc[[#This Row],[Repeating Problem]])</f>
        <v>10</v>
      </c>
      <c r="J30" t="str">
        <f>IF(I30&gt;='Prioritization Scoring Weights'!$B$37,'Prioritization Scoring Weights'!$C$37,IF(I30&gt;='Prioritization Scoring Weights'!$B$36,'Prioritization Scoring Weights'!$C$36,IF(I30&gt;='Prioritization Scoring Weights'!$B$35,'Prioritization Scoring Weights'!$C$35,IF(I30&gt;='Prioritization Scoring Weights'!$B$34,'Prioritization Scoring Weights'!$C$34,'Prioritization Scoring Weights'!$C$33))))</f>
        <v>Low</v>
      </c>
    </row>
    <row r="31" spans="1:10" x14ac:dyDescent="0.3">
      <c r="A31" t="str">
        <f>'Open Defects'!B36</f>
        <v>HOS-17287</v>
      </c>
      <c r="B31">
        <f>IF(COUNTIFS(Table1[ST Jira HOS'#],A31,Table1[Work around?], 'Prioritization Scoring Weights'!$A$3), 'Prioritization Scoring Weights'!$C$3,0)</f>
        <v>0</v>
      </c>
      <c r="C31">
        <f>IF(COUNTIFS(Table1[ST Jira HOS'#],A31, Table1[Number of properties], 'Prioritization Scoring Weights'!$A$7), 'Prioritization Scoring Weights'!$C$7, IF(COUNTIFS(Table1[ST Jira HOS'#],A31, Table1[Number of properties], 'Prioritization Scoring Weights'!$A$8), 'Prioritization Scoring Weights'!$C$8, IF(COUNTIFS(Table1[ST Jira HOS'#], A31, Table1[Number of properties], 'Prioritization Scoring Weights'!$A$9), 'Prioritization Scoring Weights'!$C$9, 0)))</f>
        <v>4</v>
      </c>
      <c r="D31">
        <f>IF(COUNTIFS(Table1[ST Jira HOS'#],A31, Table1[GRR Impact], 'Prioritization Scoring Weights'!$A$12), 'Prioritization Scoring Weights'!$C$12, IF(COUNTIFS(Table1[ST Jira HOS'#], A31, Table1[GRR Impact], 'Prioritization Scoring Weights'!$A$13), 'Prioritization Scoring Weights'!$C$13, IF(COUNTIFS(Table1[ST Jira HOS'#], A31, Table1[GRR Impact], 'Prioritization Scoring Weights'!$A$14), 'Prioritization Scoring Weights'!$C$14, 0)))</f>
        <v>2</v>
      </c>
      <c r="E31">
        <f>IF(COUNTIFS(Table1[ST Jira HOS'#], A31,Table1[Upscale Impact], 'Prioritization Scoring Weights'!$A$17), 'Prioritization Scoring Weights'!$C$17,0)</f>
        <v>2</v>
      </c>
      <c r="F31">
        <f>IF(COUNTIFS(Table1[ST Jira HOS'#], A31, Table1[Guest Satisfaction Impact], 'Prioritization Scoring Weights'!$A$20), 'Prioritization Scoring Weights'!$C$20, IF(COUNTIFS(Table1[ST Jira HOS'#],A31, Table1[Guest Satisfaction Impact], 'Prioritization Scoring Weights'!$A$21), 'Prioritization Scoring Weights'!$C$21, IF(COUNTIFS(Table1[ST Jira HOS'#], A31, Table1[Guest Satisfaction Impact], 'Prioritization Scoring Weights'!$A$22), 'Prioritization Scoring Weights'!$C$22, 0)))</f>
        <v>3</v>
      </c>
      <c r="G31">
        <f>IF(COUNTIFS(Table1[ST Jira HOS'#], A31,Table1[Program/Function Dependency], 'Prioritization Scoring Weights'!$A$25), 'Prioritization Scoring Weights'!$C$25,0)</f>
        <v>0</v>
      </c>
      <c r="H31">
        <f>IF(COUNTIFS(Table1[ST Jira HOS'#], A31,Table1[Repeating Problem], 'Prioritization Scoring Weights'!$A$28), 'Prioritization Scoring Weights'!$C$28,0)</f>
        <v>0</v>
      </c>
      <c r="I31">
        <f>SUM(B31,C31,D31,E31,F31, Calc[[#This Row],[Program Dependency]], Calc[[#This Row],[Repeating Problem]])</f>
        <v>11</v>
      </c>
      <c r="J31" t="str">
        <f>IF(I31&gt;='Prioritization Scoring Weights'!$B$37,'Prioritization Scoring Weights'!$C$37,IF(I31&gt;='Prioritization Scoring Weights'!$B$36,'Prioritization Scoring Weights'!$C$36,IF(I31&gt;='Prioritization Scoring Weights'!$B$35,'Prioritization Scoring Weights'!$C$35,IF(I31&gt;='Prioritization Scoring Weights'!$B$34,'Prioritization Scoring Weights'!$C$34,'Prioritization Scoring Weights'!$C$33))))</f>
        <v>Low</v>
      </c>
    </row>
    <row r="32" spans="1:10" x14ac:dyDescent="0.3">
      <c r="A32" t="str">
        <f>'Open Defects'!B37</f>
        <v>HOS-10579</v>
      </c>
      <c r="B32">
        <f>IF(COUNTIFS(Table1[ST Jira HOS'#],A32,Table1[Work around?], 'Prioritization Scoring Weights'!$A$3), 'Prioritization Scoring Weights'!$C$3,0)</f>
        <v>4</v>
      </c>
      <c r="C32">
        <f>IF(COUNTIFS(Table1[ST Jira HOS'#],A32, Table1[Number of properties], 'Prioritization Scoring Weights'!$A$7), 'Prioritization Scoring Weights'!$C$7, IF(COUNTIFS(Table1[ST Jira HOS'#],A32, Table1[Number of properties], 'Prioritization Scoring Weights'!$A$8), 'Prioritization Scoring Weights'!$C$8, IF(COUNTIFS(Table1[ST Jira HOS'#], A32, Table1[Number of properties], 'Prioritization Scoring Weights'!$A$9), 'Prioritization Scoring Weights'!$C$9, 0)))</f>
        <v>4</v>
      </c>
      <c r="D32">
        <f>IF(COUNTIFS(Table1[ST Jira HOS'#],A32, Table1[GRR Impact], 'Prioritization Scoring Weights'!$A$12), 'Prioritization Scoring Weights'!$C$12, IF(COUNTIFS(Table1[ST Jira HOS'#], A32, Table1[GRR Impact], 'Prioritization Scoring Weights'!$A$13), 'Prioritization Scoring Weights'!$C$13, IF(COUNTIFS(Table1[ST Jira HOS'#], A32, Table1[GRR Impact], 'Prioritization Scoring Weights'!$A$14), 'Prioritization Scoring Weights'!$C$14, 0)))</f>
        <v>3</v>
      </c>
      <c r="E32">
        <f>IF(COUNTIFS(Table1[ST Jira HOS'#], A32,Table1[Upscale Impact], 'Prioritization Scoring Weights'!$A$17), 'Prioritization Scoring Weights'!$C$17,0)</f>
        <v>2</v>
      </c>
      <c r="F32">
        <f>IF(COUNTIFS(Table1[ST Jira HOS'#], A32, Table1[Guest Satisfaction Impact], 'Prioritization Scoring Weights'!$A$20), 'Prioritization Scoring Weights'!$C$20, IF(COUNTIFS(Table1[ST Jira HOS'#],A32, Table1[Guest Satisfaction Impact], 'Prioritization Scoring Weights'!$A$21), 'Prioritization Scoring Weights'!$C$21, IF(COUNTIFS(Table1[ST Jira HOS'#], A32, Table1[Guest Satisfaction Impact], 'Prioritization Scoring Weights'!$A$22), 'Prioritization Scoring Weights'!$C$22, 0)))</f>
        <v>1</v>
      </c>
      <c r="G32">
        <f>IF(COUNTIFS(Table1[ST Jira HOS'#], A32,Table1[Program/Function Dependency], 'Prioritization Scoring Weights'!$A$25), 'Prioritization Scoring Weights'!$C$25,0)</f>
        <v>2</v>
      </c>
      <c r="H32">
        <f>IF(COUNTIFS(Table1[ST Jira HOS'#], A32,Table1[Repeating Problem], 'Prioritization Scoring Weights'!$A$28), 'Prioritization Scoring Weights'!$C$28,0)</f>
        <v>0</v>
      </c>
      <c r="I32">
        <f>SUM(B32,C32,D32,E32,F32, Calc[[#This Row],[Program Dependency]], Calc[[#This Row],[Repeating Problem]])</f>
        <v>16</v>
      </c>
      <c r="J32" t="str">
        <f>IF(I32&gt;='Prioritization Scoring Weights'!$B$37,'Prioritization Scoring Weights'!$C$37,IF(I32&gt;='Prioritization Scoring Weights'!$B$36,'Prioritization Scoring Weights'!$C$36,IF(I32&gt;='Prioritization Scoring Weights'!$B$35,'Prioritization Scoring Weights'!$C$35,IF(I32&gt;='Prioritization Scoring Weights'!$B$34,'Prioritization Scoring Weights'!$C$34,'Prioritization Scoring Weights'!$C$33))))</f>
        <v>Critical</v>
      </c>
    </row>
    <row r="33" spans="1:10" x14ac:dyDescent="0.3">
      <c r="A33" t="str">
        <f>'Open Defects'!B38</f>
        <v>HOS-17331</v>
      </c>
      <c r="B33">
        <f>IF(COUNTIFS(Table1[ST Jira HOS'#],A33,Table1[Work around?], 'Prioritization Scoring Weights'!$A$3), 'Prioritization Scoring Weights'!$C$3,0)</f>
        <v>4</v>
      </c>
      <c r="C33">
        <f>IF(COUNTIFS(Table1[ST Jira HOS'#],A33, Table1[Number of properties], 'Prioritization Scoring Weights'!$A$7), 'Prioritization Scoring Weights'!$C$7, IF(COUNTIFS(Table1[ST Jira HOS'#],A33, Table1[Number of properties], 'Prioritization Scoring Weights'!$A$8), 'Prioritization Scoring Weights'!$C$8, IF(COUNTIFS(Table1[ST Jira HOS'#], A33, Table1[Number of properties], 'Prioritization Scoring Weights'!$A$9), 'Prioritization Scoring Weights'!$C$9, 0)))</f>
        <v>3</v>
      </c>
      <c r="D33">
        <f>IF(COUNTIFS(Table1[ST Jira HOS'#],A33, Table1[GRR Impact], 'Prioritization Scoring Weights'!$A$12), 'Prioritization Scoring Weights'!$C$12, IF(COUNTIFS(Table1[ST Jira HOS'#], A33, Table1[GRR Impact], 'Prioritization Scoring Weights'!$A$13), 'Prioritization Scoring Weights'!$C$13, IF(COUNTIFS(Table1[ST Jira HOS'#], A33, Table1[GRR Impact], 'Prioritization Scoring Weights'!$A$14), 'Prioritization Scoring Weights'!$C$14, 0)))</f>
        <v>3</v>
      </c>
      <c r="E33">
        <f>IF(COUNTIFS(Table1[ST Jira HOS'#], A33,Table1[Upscale Impact], 'Prioritization Scoring Weights'!$A$17), 'Prioritization Scoring Weights'!$C$17,0)</f>
        <v>2</v>
      </c>
      <c r="F33">
        <f>IF(COUNTIFS(Table1[ST Jira HOS'#], A33, Table1[Guest Satisfaction Impact], 'Prioritization Scoring Weights'!$A$20), 'Prioritization Scoring Weights'!$C$20, IF(COUNTIFS(Table1[ST Jira HOS'#],A33, Table1[Guest Satisfaction Impact], 'Prioritization Scoring Weights'!$A$21), 'Prioritization Scoring Weights'!$C$21, IF(COUNTIFS(Table1[ST Jira HOS'#], A33, Table1[Guest Satisfaction Impact], 'Prioritization Scoring Weights'!$A$22), 'Prioritization Scoring Weights'!$C$22, 0)))</f>
        <v>1</v>
      </c>
      <c r="G33">
        <f>IF(COUNTIFS(Table1[ST Jira HOS'#], A33,Table1[Program/Function Dependency], 'Prioritization Scoring Weights'!$A$25), 'Prioritization Scoring Weights'!$C$25,0)</f>
        <v>0</v>
      </c>
      <c r="H33">
        <f>IF(COUNTIFS(Table1[ST Jira HOS'#], A33,Table1[Repeating Problem], 'Prioritization Scoring Weights'!$A$28), 'Prioritization Scoring Weights'!$C$28,0)</f>
        <v>0</v>
      </c>
      <c r="I33">
        <f>SUM(B33,C33,D33,E33,F33, Calc[[#This Row],[Program Dependency]], Calc[[#This Row],[Repeating Problem]])</f>
        <v>13</v>
      </c>
      <c r="J33" t="str">
        <f>IF(I33&gt;='Prioritization Scoring Weights'!$B$37,'Prioritization Scoring Weights'!$C$37,IF(I33&gt;='Prioritization Scoring Weights'!$B$36,'Prioritization Scoring Weights'!$C$36,IF(I33&gt;='Prioritization Scoring Weights'!$B$35,'Prioritization Scoring Weights'!$C$35,IF(I33&gt;='Prioritization Scoring Weights'!$B$34,'Prioritization Scoring Weights'!$C$34,'Prioritization Scoring Weights'!$C$33))))</f>
        <v>Medium</v>
      </c>
    </row>
    <row r="34" spans="1:10" x14ac:dyDescent="0.3">
      <c r="A34" t="str">
        <f>'Open Defects'!B39</f>
        <v>HOS-17692</v>
      </c>
      <c r="B34">
        <f>IF(COUNTIFS(Table1[ST Jira HOS'#],A34,Table1[Work around?], 'Prioritization Scoring Weights'!$A$3), 'Prioritization Scoring Weights'!$C$3,0)</f>
        <v>4</v>
      </c>
      <c r="C34">
        <f>IF(COUNTIFS(Table1[ST Jira HOS'#],A34, Table1[Number of properties], 'Prioritization Scoring Weights'!$A$7), 'Prioritization Scoring Weights'!$C$7, IF(COUNTIFS(Table1[ST Jira HOS'#],A34, Table1[Number of properties], 'Prioritization Scoring Weights'!$A$8), 'Prioritization Scoring Weights'!$C$8, IF(COUNTIFS(Table1[ST Jira HOS'#], A34, Table1[Number of properties], 'Prioritization Scoring Weights'!$A$9), 'Prioritization Scoring Weights'!$C$9, 0)))</f>
        <v>4</v>
      </c>
      <c r="D34">
        <f>IF(COUNTIFS(Table1[ST Jira HOS'#],A34, Table1[GRR Impact], 'Prioritization Scoring Weights'!$A$12), 'Prioritization Scoring Weights'!$C$12, IF(COUNTIFS(Table1[ST Jira HOS'#], A34, Table1[GRR Impact], 'Prioritization Scoring Weights'!$A$13), 'Prioritization Scoring Weights'!$C$13, IF(COUNTIFS(Table1[ST Jira HOS'#], A34, Table1[GRR Impact], 'Prioritization Scoring Weights'!$A$14), 'Prioritization Scoring Weights'!$C$14, 0)))</f>
        <v>1</v>
      </c>
      <c r="E34">
        <f>IF(COUNTIFS(Table1[ST Jira HOS'#], A34,Table1[Upscale Impact], 'Prioritization Scoring Weights'!$A$17), 'Prioritization Scoring Weights'!$C$17,0)</f>
        <v>2</v>
      </c>
      <c r="F34">
        <f>IF(COUNTIFS(Table1[ST Jira HOS'#], A34, Table1[Guest Satisfaction Impact], 'Prioritization Scoring Weights'!$A$20), 'Prioritization Scoring Weights'!$C$20, IF(COUNTIFS(Table1[ST Jira HOS'#],A34, Table1[Guest Satisfaction Impact], 'Prioritization Scoring Weights'!$A$21), 'Prioritization Scoring Weights'!$C$21, IF(COUNTIFS(Table1[ST Jira HOS'#], A34, Table1[Guest Satisfaction Impact], 'Prioritization Scoring Weights'!$A$22), 'Prioritization Scoring Weights'!$C$22, 0)))</f>
        <v>1</v>
      </c>
      <c r="G34">
        <f>IF(COUNTIFS(Table1[ST Jira HOS'#], A34,Table1[Program/Function Dependency], 'Prioritization Scoring Weights'!$A$25), 'Prioritization Scoring Weights'!$C$25,0)</f>
        <v>0</v>
      </c>
      <c r="H34">
        <f>IF(COUNTIFS(Table1[ST Jira HOS'#], A34,Table1[Repeating Problem], 'Prioritization Scoring Weights'!$A$28), 'Prioritization Scoring Weights'!$C$28,0)</f>
        <v>0</v>
      </c>
      <c r="I34">
        <f>SUM(B34,C34,D34,E34,F34, Calc[[#This Row],[Program Dependency]], Calc[[#This Row],[Repeating Problem]])</f>
        <v>12</v>
      </c>
      <c r="J34" t="str">
        <f>IF(I34&gt;='Prioritization Scoring Weights'!$B$37,'Prioritization Scoring Weights'!$C$37,IF(I34&gt;='Prioritization Scoring Weights'!$B$36,'Prioritization Scoring Weights'!$C$36,IF(I34&gt;='Prioritization Scoring Weights'!$B$35,'Prioritization Scoring Weights'!$C$35,IF(I34&gt;='Prioritization Scoring Weights'!$B$34,'Prioritization Scoring Weights'!$C$34,'Prioritization Scoring Weights'!$C$33))))</f>
        <v>Medium</v>
      </c>
    </row>
    <row r="35" spans="1:10" x14ac:dyDescent="0.3">
      <c r="A35" t="str">
        <f>'Open Defects'!B40</f>
        <v>HOS-14662</v>
      </c>
      <c r="B35">
        <f>IF(COUNTIFS(Table1[ST Jira HOS'#],A35,Table1[Work around?], 'Prioritization Scoring Weights'!$A$3), 'Prioritization Scoring Weights'!$C$3,0)</f>
        <v>4</v>
      </c>
      <c r="C35">
        <f>IF(COUNTIFS(Table1[ST Jira HOS'#],A35, Table1[Number of properties], 'Prioritization Scoring Weights'!$A$7), 'Prioritization Scoring Weights'!$C$7, IF(COUNTIFS(Table1[ST Jira HOS'#],A35, Table1[Number of properties], 'Prioritization Scoring Weights'!$A$8), 'Prioritization Scoring Weights'!$C$8, IF(COUNTIFS(Table1[ST Jira HOS'#], A35, Table1[Number of properties], 'Prioritization Scoring Weights'!$A$9), 'Prioritization Scoring Weights'!$C$9, 0)))</f>
        <v>4</v>
      </c>
      <c r="D35">
        <f>IF(COUNTIFS(Table1[ST Jira HOS'#],A35, Table1[GRR Impact], 'Prioritization Scoring Weights'!$A$12), 'Prioritization Scoring Weights'!$C$12, IF(COUNTIFS(Table1[ST Jira HOS'#], A35, Table1[GRR Impact], 'Prioritization Scoring Weights'!$A$13), 'Prioritization Scoring Weights'!$C$13, IF(COUNTIFS(Table1[ST Jira HOS'#], A35, Table1[GRR Impact], 'Prioritization Scoring Weights'!$A$14), 'Prioritization Scoring Weights'!$C$14, 0)))</f>
        <v>1</v>
      </c>
      <c r="E35">
        <f>IF(COUNTIFS(Table1[ST Jira HOS'#], A35,Table1[Upscale Impact], 'Prioritization Scoring Weights'!$A$17), 'Prioritization Scoring Weights'!$C$17,0)</f>
        <v>0</v>
      </c>
      <c r="F35">
        <f>IF(COUNTIFS(Table1[ST Jira HOS'#], A35, Table1[Guest Satisfaction Impact], 'Prioritization Scoring Weights'!$A$20), 'Prioritization Scoring Weights'!$C$20, IF(COUNTIFS(Table1[ST Jira HOS'#],A35, Table1[Guest Satisfaction Impact], 'Prioritization Scoring Weights'!$A$21), 'Prioritization Scoring Weights'!$C$21, IF(COUNTIFS(Table1[ST Jira HOS'#], A35, Table1[Guest Satisfaction Impact], 'Prioritization Scoring Weights'!$A$22), 'Prioritization Scoring Weights'!$C$22, 0)))</f>
        <v>3</v>
      </c>
      <c r="G35" s="60">
        <f>IF(COUNTIFS(Table1[ST Jira HOS'#], A35,Table1[Program/Function Dependency], 'Prioritization Scoring Weights'!$A$25), 'Prioritization Scoring Weights'!$C$25,0)</f>
        <v>0</v>
      </c>
      <c r="H35" s="60">
        <f>IF(COUNTIFS(Table1[ST Jira HOS'#], A35,Table1[Repeating Problem], 'Prioritization Scoring Weights'!$A$28), 'Prioritization Scoring Weights'!$C$28,0)</f>
        <v>0</v>
      </c>
      <c r="I35" s="60">
        <f>SUM(B35,C35,D35,E35,F35, Calc[[#This Row],[Program Dependency]], Calc[[#This Row],[Repeating Problem]])</f>
        <v>12</v>
      </c>
      <c r="J35" t="str">
        <f>IF(I35&gt;='Prioritization Scoring Weights'!$B$37,'Prioritization Scoring Weights'!$C$37,IF(I35&gt;='Prioritization Scoring Weights'!$B$36,'Prioritization Scoring Weights'!$C$36,IF(I35&gt;='Prioritization Scoring Weights'!$B$35,'Prioritization Scoring Weights'!$C$35,IF(I35&gt;='Prioritization Scoring Weights'!$B$34,'Prioritization Scoring Weights'!$C$34,'Prioritization Scoring Weights'!$C$33))))</f>
        <v>Medium</v>
      </c>
    </row>
    <row r="36" spans="1:10" x14ac:dyDescent="0.3">
      <c r="A36" t="str">
        <f>'Open Defects'!B41</f>
        <v>HOS-16469</v>
      </c>
      <c r="B36">
        <f>IF(COUNTIFS(Table1[ST Jira HOS'#],A36,Table1[Work around?], 'Prioritization Scoring Weights'!$A$3), 'Prioritization Scoring Weights'!$C$3,0)</f>
        <v>0</v>
      </c>
      <c r="C36">
        <f>IF(COUNTIFS(Table1[ST Jira HOS'#],A36, Table1[Number of properties], 'Prioritization Scoring Weights'!$A$7), 'Prioritization Scoring Weights'!$C$7, IF(COUNTIFS(Table1[ST Jira HOS'#],A36, Table1[Number of properties], 'Prioritization Scoring Weights'!$A$8), 'Prioritization Scoring Weights'!$C$8, IF(COUNTIFS(Table1[ST Jira HOS'#], A36, Table1[Number of properties], 'Prioritization Scoring Weights'!$A$9), 'Prioritization Scoring Weights'!$C$9, 0)))</f>
        <v>3</v>
      </c>
      <c r="D36">
        <f>IF(COUNTIFS(Table1[ST Jira HOS'#],A36, Table1[GRR Impact], 'Prioritization Scoring Weights'!$A$12), 'Prioritization Scoring Weights'!$C$12, IF(COUNTIFS(Table1[ST Jira HOS'#], A36, Table1[GRR Impact], 'Prioritization Scoring Weights'!$A$13), 'Prioritization Scoring Weights'!$C$13, IF(COUNTIFS(Table1[ST Jira HOS'#], A36, Table1[GRR Impact], 'Prioritization Scoring Weights'!$A$14), 'Prioritization Scoring Weights'!$C$14, 0)))</f>
        <v>3</v>
      </c>
      <c r="E36">
        <f>IF(COUNTIFS(Table1[ST Jira HOS'#], A36,Table1[Upscale Impact], 'Prioritization Scoring Weights'!$A$17), 'Prioritization Scoring Weights'!$C$17,0)</f>
        <v>0</v>
      </c>
      <c r="F36">
        <f>IF(COUNTIFS(Table1[ST Jira HOS'#], A36, Table1[Guest Satisfaction Impact], 'Prioritization Scoring Weights'!$A$20), 'Prioritization Scoring Weights'!$C$20, IF(COUNTIFS(Table1[ST Jira HOS'#],A36, Table1[Guest Satisfaction Impact], 'Prioritization Scoring Weights'!$A$21), 'Prioritization Scoring Weights'!$C$21, IF(COUNTIFS(Table1[ST Jira HOS'#], A36, Table1[Guest Satisfaction Impact], 'Prioritization Scoring Weights'!$A$22), 'Prioritization Scoring Weights'!$C$22, 0)))</f>
        <v>2</v>
      </c>
      <c r="G36" s="60">
        <f>IF(COUNTIFS(Table1[ST Jira HOS'#], A36,Table1[Program/Function Dependency], 'Prioritization Scoring Weights'!$A$25), 'Prioritization Scoring Weights'!$C$25,0)</f>
        <v>2</v>
      </c>
      <c r="H36" s="60">
        <f>IF(COUNTIFS(Table1[ST Jira HOS'#], A36,Table1[Repeating Problem], 'Prioritization Scoring Weights'!$A$28), 'Prioritization Scoring Weights'!$C$28,0)</f>
        <v>2</v>
      </c>
      <c r="I36" s="60">
        <f>SUM(B36,C36,D36,E36,F36, Calc[[#This Row],[Program Dependency]], Calc[[#This Row],[Repeating Problem]])</f>
        <v>12</v>
      </c>
      <c r="J36" t="str">
        <f>IF(I36&gt;='Prioritization Scoring Weights'!$B$37,'Prioritization Scoring Weights'!$C$37,IF(I36&gt;='Prioritization Scoring Weights'!$B$36,'Prioritization Scoring Weights'!$C$36,IF(I36&gt;='Prioritization Scoring Weights'!$B$35,'Prioritization Scoring Weights'!$C$35,IF(I36&gt;='Prioritization Scoring Weights'!$B$34,'Prioritization Scoring Weights'!$C$34,'Prioritization Scoring Weights'!$C$33))))</f>
        <v>Medium</v>
      </c>
    </row>
    <row r="37" spans="1:10" x14ac:dyDescent="0.3">
      <c r="A37" t="str">
        <f>'Open Defects'!B42</f>
        <v>HOS-17019</v>
      </c>
      <c r="B37">
        <f>IF(COUNTIFS(Table1[ST Jira HOS'#],A37,Table1[Work around?], 'Prioritization Scoring Weights'!$A$3), 'Prioritization Scoring Weights'!$C$3,0)</f>
        <v>0</v>
      </c>
      <c r="C37">
        <f>IF(COUNTIFS(Table1[ST Jira HOS'#],A37, Table1[Number of properties], 'Prioritization Scoring Weights'!$A$7), 'Prioritization Scoring Weights'!$C$7, IF(COUNTIFS(Table1[ST Jira HOS'#],A37, Table1[Number of properties], 'Prioritization Scoring Weights'!$A$8), 'Prioritization Scoring Weights'!$C$8, IF(COUNTIFS(Table1[ST Jira HOS'#], A37, Table1[Number of properties], 'Prioritization Scoring Weights'!$A$9), 'Prioritization Scoring Weights'!$C$9, 0)))</f>
        <v>4</v>
      </c>
      <c r="D37">
        <f>IF(COUNTIFS(Table1[ST Jira HOS'#],A37, Table1[GRR Impact], 'Prioritization Scoring Weights'!$A$12), 'Prioritization Scoring Weights'!$C$12, IF(COUNTIFS(Table1[ST Jira HOS'#], A37, Table1[GRR Impact], 'Prioritization Scoring Weights'!$A$13), 'Prioritization Scoring Weights'!$C$13, IF(COUNTIFS(Table1[ST Jira HOS'#], A37, Table1[GRR Impact], 'Prioritization Scoring Weights'!$A$14), 'Prioritization Scoring Weights'!$C$14, 0)))</f>
        <v>1</v>
      </c>
      <c r="E37">
        <f>IF(COUNTIFS(Table1[ST Jira HOS'#], A37,Table1[Upscale Impact], 'Prioritization Scoring Weights'!$A$17), 'Prioritization Scoring Weights'!$C$17,0)</f>
        <v>2</v>
      </c>
      <c r="F37">
        <f>IF(COUNTIFS(Table1[ST Jira HOS'#], A37, Table1[Guest Satisfaction Impact], 'Prioritization Scoring Weights'!$A$20), 'Prioritization Scoring Weights'!$C$20, IF(COUNTIFS(Table1[ST Jira HOS'#],A37, Table1[Guest Satisfaction Impact], 'Prioritization Scoring Weights'!$A$21), 'Prioritization Scoring Weights'!$C$21, IF(COUNTIFS(Table1[ST Jira HOS'#], A37, Table1[Guest Satisfaction Impact], 'Prioritization Scoring Weights'!$A$22), 'Prioritization Scoring Weights'!$C$22, 0)))</f>
        <v>1</v>
      </c>
      <c r="G37" s="60">
        <f>IF(COUNTIFS(Table1[ST Jira HOS'#], A37,Table1[Program/Function Dependency], 'Prioritization Scoring Weights'!$A$25), 'Prioritization Scoring Weights'!$C$25,0)</f>
        <v>0</v>
      </c>
      <c r="H37" s="60">
        <f>IF(COUNTIFS(Table1[ST Jira HOS'#], A37,Table1[Repeating Problem], 'Prioritization Scoring Weights'!$A$28), 'Prioritization Scoring Weights'!$C$28,0)</f>
        <v>0</v>
      </c>
      <c r="I37" s="60">
        <f>SUM(B37,C37,D37,E37,F37, Calc[[#This Row],[Program Dependency]], Calc[[#This Row],[Repeating Problem]])</f>
        <v>8</v>
      </c>
      <c r="J37" t="str">
        <f>IF(I37&gt;='Prioritization Scoring Weights'!$B$37,'Prioritization Scoring Weights'!$C$37,IF(I37&gt;='Prioritization Scoring Weights'!$B$36,'Prioritization Scoring Weights'!$C$36,IF(I37&gt;='Prioritization Scoring Weights'!$B$35,'Prioritization Scoring Weights'!$C$35,IF(I37&gt;='Prioritization Scoring Weights'!$B$34,'Prioritization Scoring Weights'!$C$34,'Prioritization Scoring Weights'!$C$33))))</f>
        <v>Low</v>
      </c>
    </row>
    <row r="38" spans="1:10" x14ac:dyDescent="0.3">
      <c r="A38" t="str">
        <f>'Open Defects'!B43</f>
        <v>HOS-10697</v>
      </c>
      <c r="B38">
        <f>IF(COUNTIFS(Table1[ST Jira HOS'#],A38,Table1[Work around?], 'Prioritization Scoring Weights'!$A$3), 'Prioritization Scoring Weights'!$C$3,0)</f>
        <v>0</v>
      </c>
      <c r="C38">
        <f>IF(COUNTIFS(Table1[ST Jira HOS'#],A38, Table1[Number of properties], 'Prioritization Scoring Weights'!$A$7), 'Prioritization Scoring Weights'!$C$7, IF(COUNTIFS(Table1[ST Jira HOS'#],A38, Table1[Number of properties], 'Prioritization Scoring Weights'!$A$8), 'Prioritization Scoring Weights'!$C$8, IF(COUNTIFS(Table1[ST Jira HOS'#], A38, Table1[Number of properties], 'Prioritization Scoring Weights'!$A$9), 'Prioritization Scoring Weights'!$C$9, 0)))</f>
        <v>4</v>
      </c>
      <c r="D38">
        <f>IF(COUNTIFS(Table1[ST Jira HOS'#],A38, Table1[GRR Impact], 'Prioritization Scoring Weights'!$A$12), 'Prioritization Scoring Weights'!$C$12, IF(COUNTIFS(Table1[ST Jira HOS'#], A38, Table1[GRR Impact], 'Prioritization Scoring Weights'!$A$13), 'Prioritization Scoring Weights'!$C$13, IF(COUNTIFS(Table1[ST Jira HOS'#], A38, Table1[GRR Impact], 'Prioritization Scoring Weights'!$A$14), 'Prioritization Scoring Weights'!$C$14, 0)))</f>
        <v>3</v>
      </c>
      <c r="E38">
        <f>IF(COUNTIFS(Table1[ST Jira HOS'#], A38,Table1[Upscale Impact], 'Prioritization Scoring Weights'!$A$17), 'Prioritization Scoring Weights'!$C$17,0)</f>
        <v>2</v>
      </c>
      <c r="F38">
        <f>IF(COUNTIFS(Table1[ST Jira HOS'#], A38, Table1[Guest Satisfaction Impact], 'Prioritization Scoring Weights'!$A$20), 'Prioritization Scoring Weights'!$C$20, IF(COUNTIFS(Table1[ST Jira HOS'#],A38, Table1[Guest Satisfaction Impact], 'Prioritization Scoring Weights'!$A$21), 'Prioritization Scoring Weights'!$C$21, IF(COUNTIFS(Table1[ST Jira HOS'#], A38, Table1[Guest Satisfaction Impact], 'Prioritization Scoring Weights'!$A$22), 'Prioritization Scoring Weights'!$C$22, 0)))</f>
        <v>1</v>
      </c>
      <c r="G38" s="60">
        <f>IF(COUNTIFS(Table1[ST Jira HOS'#], A38,Table1[Program/Function Dependency], 'Prioritization Scoring Weights'!$A$25), 'Prioritization Scoring Weights'!$C$25,0)</f>
        <v>0</v>
      </c>
      <c r="H38" s="60">
        <f>IF(COUNTIFS(Table1[ST Jira HOS'#], A38,Table1[Repeating Problem], 'Prioritization Scoring Weights'!$A$28), 'Prioritization Scoring Weights'!$C$28,0)</f>
        <v>0</v>
      </c>
      <c r="I38" s="60">
        <f>SUM(B38,C38,D38,E38,F38, Calc[[#This Row],[Program Dependency]], Calc[[#This Row],[Repeating Problem]])</f>
        <v>10</v>
      </c>
      <c r="J38" t="str">
        <f>IF(I38&gt;='Prioritization Scoring Weights'!$B$37,'Prioritization Scoring Weights'!$C$37,IF(I38&gt;='Prioritization Scoring Weights'!$B$36,'Prioritization Scoring Weights'!$C$36,IF(I38&gt;='Prioritization Scoring Weights'!$B$35,'Prioritization Scoring Weights'!$C$35,IF(I38&gt;='Prioritization Scoring Weights'!$B$34,'Prioritization Scoring Weights'!$C$34,'Prioritization Scoring Weights'!$C$33))))</f>
        <v>Low</v>
      </c>
    </row>
    <row r="39" spans="1:10" x14ac:dyDescent="0.3">
      <c r="A39" t="str">
        <f>'Open Defects'!B44</f>
        <v>HOS-17986</v>
      </c>
      <c r="B39">
        <f>IF(COUNTIFS(Table1[ST Jira HOS'#],A39,Table1[Work around?], 'Prioritization Scoring Weights'!$A$3), 'Prioritization Scoring Weights'!$C$3,0)</f>
        <v>4</v>
      </c>
      <c r="C39">
        <f>IF(COUNTIFS(Table1[ST Jira HOS'#],A39, Table1[Number of properties], 'Prioritization Scoring Weights'!$A$7), 'Prioritization Scoring Weights'!$C$7, IF(COUNTIFS(Table1[ST Jira HOS'#],A39, Table1[Number of properties], 'Prioritization Scoring Weights'!$A$8), 'Prioritization Scoring Weights'!$C$8, IF(COUNTIFS(Table1[ST Jira HOS'#], A39, Table1[Number of properties], 'Prioritization Scoring Weights'!$A$9), 'Prioritization Scoring Weights'!$C$9, 0)))</f>
        <v>4</v>
      </c>
      <c r="D39">
        <f>IF(COUNTIFS(Table1[ST Jira HOS'#],A39, Table1[GRR Impact], 'Prioritization Scoring Weights'!$A$12), 'Prioritization Scoring Weights'!$C$12, IF(COUNTIFS(Table1[ST Jira HOS'#], A39, Table1[GRR Impact], 'Prioritization Scoring Weights'!$A$13), 'Prioritization Scoring Weights'!$C$13, IF(COUNTIFS(Table1[ST Jira HOS'#], A39, Table1[GRR Impact], 'Prioritization Scoring Weights'!$A$14), 'Prioritization Scoring Weights'!$C$14, 0)))</f>
        <v>2</v>
      </c>
      <c r="E39">
        <f>IF(COUNTIFS(Table1[ST Jira HOS'#], A39,Table1[Upscale Impact], 'Prioritization Scoring Weights'!$A$17), 'Prioritization Scoring Weights'!$C$17,0)</f>
        <v>2</v>
      </c>
      <c r="F39">
        <f>IF(COUNTIFS(Table1[ST Jira HOS'#], A39, Table1[Guest Satisfaction Impact], 'Prioritization Scoring Weights'!$A$20), 'Prioritization Scoring Weights'!$C$20, IF(COUNTIFS(Table1[ST Jira HOS'#],A39, Table1[Guest Satisfaction Impact], 'Prioritization Scoring Weights'!$A$21), 'Prioritization Scoring Weights'!$C$21, IF(COUNTIFS(Table1[ST Jira HOS'#], A39, Table1[Guest Satisfaction Impact], 'Prioritization Scoring Weights'!$A$22), 'Prioritization Scoring Weights'!$C$22, 0)))</f>
        <v>1</v>
      </c>
      <c r="G39" s="60">
        <f>IF(COUNTIFS(Table1[ST Jira HOS'#], A39,Table1[Program/Function Dependency], 'Prioritization Scoring Weights'!$A$25), 'Prioritization Scoring Weights'!$C$25,0)</f>
        <v>0</v>
      </c>
      <c r="H39" s="60">
        <f>IF(COUNTIFS(Table1[ST Jira HOS'#], A39,Table1[Repeating Problem], 'Prioritization Scoring Weights'!$A$28), 'Prioritization Scoring Weights'!$C$28,0)</f>
        <v>0</v>
      </c>
      <c r="I39" s="60">
        <f>SUM(B39,C39,D39,E39,F39, Calc[[#This Row],[Program Dependency]], Calc[[#This Row],[Repeating Problem]])</f>
        <v>13</v>
      </c>
      <c r="J39" t="str">
        <f>IF(I39&gt;='Prioritization Scoring Weights'!$B$37,'Prioritization Scoring Weights'!$C$37,IF(I39&gt;='Prioritization Scoring Weights'!$B$36,'Prioritization Scoring Weights'!$C$36,IF(I39&gt;='Prioritization Scoring Weights'!$B$35,'Prioritization Scoring Weights'!$C$35,IF(I39&gt;='Prioritization Scoring Weights'!$B$34,'Prioritization Scoring Weights'!$C$34,'Prioritization Scoring Weights'!$C$33))))</f>
        <v>Medium</v>
      </c>
    </row>
    <row r="40" spans="1:10" x14ac:dyDescent="0.3">
      <c r="A40" t="str">
        <f>'Open Defects'!B45</f>
        <v>HOS-8837</v>
      </c>
      <c r="B40">
        <f>IF(COUNTIFS(Table1[ST Jira HOS'#],A40,Table1[Work around?], 'Prioritization Scoring Weights'!$A$3), 'Prioritization Scoring Weights'!$C$3,0)</f>
        <v>0</v>
      </c>
      <c r="C40">
        <f>IF(COUNTIFS(Table1[ST Jira HOS'#],A40, Table1[Number of properties], 'Prioritization Scoring Weights'!$A$7), 'Prioritization Scoring Weights'!$C$7, IF(COUNTIFS(Table1[ST Jira HOS'#],A40, Table1[Number of properties], 'Prioritization Scoring Weights'!$A$8), 'Prioritization Scoring Weights'!$C$8, IF(COUNTIFS(Table1[ST Jira HOS'#], A40, Table1[Number of properties], 'Prioritization Scoring Weights'!$A$9), 'Prioritization Scoring Weights'!$C$9, 0)))</f>
        <v>3</v>
      </c>
      <c r="D40">
        <f>IF(COUNTIFS(Table1[ST Jira HOS'#],A40, Table1[GRR Impact], 'Prioritization Scoring Weights'!$A$12), 'Prioritization Scoring Weights'!$C$12, IF(COUNTIFS(Table1[ST Jira HOS'#], A40, Table1[GRR Impact], 'Prioritization Scoring Weights'!$A$13), 'Prioritization Scoring Weights'!$C$13, IF(COUNTIFS(Table1[ST Jira HOS'#], A40, Table1[GRR Impact], 'Prioritization Scoring Weights'!$A$14), 'Prioritization Scoring Weights'!$C$14, 0)))</f>
        <v>2</v>
      </c>
      <c r="E40">
        <f>IF(COUNTIFS(Table1[ST Jira HOS'#], A40,Table1[Upscale Impact], 'Prioritization Scoring Weights'!$A$17), 'Prioritization Scoring Weights'!$C$17,0)</f>
        <v>2</v>
      </c>
      <c r="F40">
        <f>IF(COUNTIFS(Table1[ST Jira HOS'#], A40, Table1[Guest Satisfaction Impact], 'Prioritization Scoring Weights'!$A$20), 'Prioritization Scoring Weights'!$C$20, IF(COUNTIFS(Table1[ST Jira HOS'#],A40, Table1[Guest Satisfaction Impact], 'Prioritization Scoring Weights'!$A$21), 'Prioritization Scoring Weights'!$C$21, IF(COUNTIFS(Table1[ST Jira HOS'#], A40, Table1[Guest Satisfaction Impact], 'Prioritization Scoring Weights'!$A$22), 'Prioritization Scoring Weights'!$C$22, 0)))</f>
        <v>1</v>
      </c>
      <c r="G40" s="60">
        <f>IF(COUNTIFS(Table1[ST Jira HOS'#], A40,Table1[Program/Function Dependency], 'Prioritization Scoring Weights'!$A$25), 'Prioritization Scoring Weights'!$C$25,0)</f>
        <v>0</v>
      </c>
      <c r="H40" s="60">
        <f>IF(COUNTIFS(Table1[ST Jira HOS'#], A40,Table1[Repeating Problem], 'Prioritization Scoring Weights'!$A$28), 'Prioritization Scoring Weights'!$C$28,0)</f>
        <v>0</v>
      </c>
      <c r="I40" s="60">
        <f>SUM(B40,C40,D40,E40,F40, Calc[[#This Row],[Program Dependency]], Calc[[#This Row],[Repeating Problem]])</f>
        <v>8</v>
      </c>
      <c r="J40" t="str">
        <f>IF(I40&gt;='Prioritization Scoring Weights'!$B$37,'Prioritization Scoring Weights'!$C$37,IF(I40&gt;='Prioritization Scoring Weights'!$B$36,'Prioritization Scoring Weights'!$C$36,IF(I40&gt;='Prioritization Scoring Weights'!$B$35,'Prioritization Scoring Weights'!$C$35,IF(I40&gt;='Prioritization Scoring Weights'!$B$34,'Prioritization Scoring Weights'!$C$34,'Prioritization Scoring Weights'!$C$33))))</f>
        <v>Low</v>
      </c>
    </row>
    <row r="41" spans="1:10" x14ac:dyDescent="0.3">
      <c r="A41" t="str">
        <f>'Open Defects'!B46</f>
        <v>HOS-10959</v>
      </c>
      <c r="B41">
        <f>IF(COUNTIFS(Table1[ST Jira HOS'#],A41,Table1[Work around?], 'Prioritization Scoring Weights'!$A$3), 'Prioritization Scoring Weights'!$C$3,0)</f>
        <v>4</v>
      </c>
      <c r="C41">
        <f>IF(COUNTIFS(Table1[ST Jira HOS'#],A41, Table1[Number of properties], 'Prioritization Scoring Weights'!$A$7), 'Prioritization Scoring Weights'!$C$7, IF(COUNTIFS(Table1[ST Jira HOS'#],A41, Table1[Number of properties], 'Prioritization Scoring Weights'!$A$8), 'Prioritization Scoring Weights'!$C$8, IF(COUNTIFS(Table1[ST Jira HOS'#], A41, Table1[Number of properties], 'Prioritization Scoring Weights'!$A$9), 'Prioritization Scoring Weights'!$C$9, 0)))</f>
        <v>4</v>
      </c>
      <c r="D41">
        <f>IF(COUNTIFS(Table1[ST Jira HOS'#],A41, Table1[GRR Impact], 'Prioritization Scoring Weights'!$A$12), 'Prioritization Scoring Weights'!$C$12, IF(COUNTIFS(Table1[ST Jira HOS'#], A41, Table1[GRR Impact], 'Prioritization Scoring Weights'!$A$13), 'Prioritization Scoring Weights'!$C$13, IF(COUNTIFS(Table1[ST Jira HOS'#], A41, Table1[GRR Impact], 'Prioritization Scoring Weights'!$A$14), 'Prioritization Scoring Weights'!$C$14, 0)))</f>
        <v>1</v>
      </c>
      <c r="E41">
        <f>IF(COUNTIFS(Table1[ST Jira HOS'#], A41,Table1[Upscale Impact], 'Prioritization Scoring Weights'!$A$17), 'Prioritization Scoring Weights'!$C$17,0)</f>
        <v>0</v>
      </c>
      <c r="F41">
        <f>IF(COUNTIFS(Table1[ST Jira HOS'#], A41, Table1[Guest Satisfaction Impact], 'Prioritization Scoring Weights'!$A$20), 'Prioritization Scoring Weights'!$C$20, IF(COUNTIFS(Table1[ST Jira HOS'#],A41, Table1[Guest Satisfaction Impact], 'Prioritization Scoring Weights'!$A$21), 'Prioritization Scoring Weights'!$C$21, IF(COUNTIFS(Table1[ST Jira HOS'#], A41, Table1[Guest Satisfaction Impact], 'Prioritization Scoring Weights'!$A$22), 'Prioritization Scoring Weights'!$C$22, 0)))</f>
        <v>1</v>
      </c>
      <c r="G41" s="60">
        <f>IF(COUNTIFS(Table1[ST Jira HOS'#], A41,Table1[Program/Function Dependency], 'Prioritization Scoring Weights'!$A$25), 'Prioritization Scoring Weights'!$C$25,0)</f>
        <v>2</v>
      </c>
      <c r="H41" s="60">
        <f>IF(COUNTIFS(Table1[ST Jira HOS'#], A41,Table1[Repeating Problem], 'Prioritization Scoring Weights'!$A$28), 'Prioritization Scoring Weights'!$C$28,0)</f>
        <v>0</v>
      </c>
      <c r="I41" s="60">
        <f>SUM(B41,C41,D41,E41,F41, Calc[[#This Row],[Program Dependency]], Calc[[#This Row],[Repeating Problem]])</f>
        <v>12</v>
      </c>
      <c r="J41" t="str">
        <f>IF(I41&gt;='Prioritization Scoring Weights'!$B$37,'Prioritization Scoring Weights'!$C$37,IF(I41&gt;='Prioritization Scoring Weights'!$B$36,'Prioritization Scoring Weights'!$C$36,IF(I41&gt;='Prioritization Scoring Weights'!$B$35,'Prioritization Scoring Weights'!$C$35,IF(I41&gt;='Prioritization Scoring Weights'!$B$34,'Prioritization Scoring Weights'!$C$34,'Prioritization Scoring Weights'!$C$33))))</f>
        <v>Medium</v>
      </c>
    </row>
    <row r="42" spans="1:10" x14ac:dyDescent="0.3">
      <c r="A42" t="str">
        <f>'Open Defects'!B47</f>
        <v>HOS-13805</v>
      </c>
      <c r="B42">
        <f>IF(COUNTIFS(Table1[ST Jira HOS'#],A42,Table1[Work around?], 'Prioritization Scoring Weights'!$A$3), 'Prioritization Scoring Weights'!$C$3,0)</f>
        <v>4</v>
      </c>
      <c r="C42">
        <f>IF(COUNTIFS(Table1[ST Jira HOS'#],A42, Table1[Number of properties], 'Prioritization Scoring Weights'!$A$7), 'Prioritization Scoring Weights'!$C$7, IF(COUNTIFS(Table1[ST Jira HOS'#],A42, Table1[Number of properties], 'Prioritization Scoring Weights'!$A$8), 'Prioritization Scoring Weights'!$C$8, IF(COUNTIFS(Table1[ST Jira HOS'#], A42, Table1[Number of properties], 'Prioritization Scoring Weights'!$A$9), 'Prioritization Scoring Weights'!$C$9, 0)))</f>
        <v>3</v>
      </c>
      <c r="D42">
        <f>IF(COUNTIFS(Table1[ST Jira HOS'#],A42, Table1[GRR Impact], 'Prioritization Scoring Weights'!$A$12), 'Prioritization Scoring Weights'!$C$12, IF(COUNTIFS(Table1[ST Jira HOS'#], A42, Table1[GRR Impact], 'Prioritization Scoring Weights'!$A$13), 'Prioritization Scoring Weights'!$C$13, IF(COUNTIFS(Table1[ST Jira HOS'#], A42, Table1[GRR Impact], 'Prioritization Scoring Weights'!$A$14), 'Prioritization Scoring Weights'!$C$14, 0)))</f>
        <v>2</v>
      </c>
      <c r="E42">
        <f>IF(COUNTIFS(Table1[ST Jira HOS'#], A42,Table1[Upscale Impact], 'Prioritization Scoring Weights'!$A$17), 'Prioritization Scoring Weights'!$C$17,0)</f>
        <v>0</v>
      </c>
      <c r="F42">
        <f>IF(COUNTIFS(Table1[ST Jira HOS'#], A42, Table1[Guest Satisfaction Impact], 'Prioritization Scoring Weights'!$A$20), 'Prioritization Scoring Weights'!$C$20, IF(COUNTIFS(Table1[ST Jira HOS'#],A42, Table1[Guest Satisfaction Impact], 'Prioritization Scoring Weights'!$A$21), 'Prioritization Scoring Weights'!$C$21, IF(COUNTIFS(Table1[ST Jira HOS'#], A42, Table1[Guest Satisfaction Impact], 'Prioritization Scoring Weights'!$A$22), 'Prioritization Scoring Weights'!$C$22, 0)))</f>
        <v>1</v>
      </c>
      <c r="G42" s="60">
        <f>IF(COUNTIFS(Table1[ST Jira HOS'#], A42,Table1[Program/Function Dependency], 'Prioritization Scoring Weights'!$A$25), 'Prioritization Scoring Weights'!$C$25,0)</f>
        <v>2</v>
      </c>
      <c r="H42" s="60">
        <f>IF(COUNTIFS(Table1[ST Jira HOS'#], A42,Table1[Repeating Problem], 'Prioritization Scoring Weights'!$A$28), 'Prioritization Scoring Weights'!$C$28,0)</f>
        <v>0</v>
      </c>
      <c r="I42" s="60">
        <f>SUM(B42,C42,D42,E42,F42, Calc[[#This Row],[Program Dependency]], Calc[[#This Row],[Repeating Problem]])</f>
        <v>12</v>
      </c>
      <c r="J42" t="str">
        <f>IF(I42&gt;='Prioritization Scoring Weights'!$B$37,'Prioritization Scoring Weights'!$C$37,IF(I42&gt;='Prioritization Scoring Weights'!$B$36,'Prioritization Scoring Weights'!$C$36,IF(I42&gt;='Prioritization Scoring Weights'!$B$35,'Prioritization Scoring Weights'!$C$35,IF(I42&gt;='Prioritization Scoring Weights'!$B$34,'Prioritization Scoring Weights'!$C$34,'Prioritization Scoring Weights'!$C$33))))</f>
        <v>Medium</v>
      </c>
    </row>
    <row r="43" spans="1:10" x14ac:dyDescent="0.3">
      <c r="A43" t="str">
        <f>'Open Defects'!B48</f>
        <v>HOS-8041</v>
      </c>
      <c r="B43">
        <f>IF(COUNTIFS(Table1[ST Jira HOS'#],A43,Table1[Work around?], 'Prioritization Scoring Weights'!$A$3), 'Prioritization Scoring Weights'!$C$3,0)</f>
        <v>0</v>
      </c>
      <c r="C43">
        <f>IF(COUNTIFS(Table1[ST Jira HOS'#],A43, Table1[Number of properties], 'Prioritization Scoring Weights'!$A$7), 'Prioritization Scoring Weights'!$C$7, IF(COUNTIFS(Table1[ST Jira HOS'#],A43, Table1[Number of properties], 'Prioritization Scoring Weights'!$A$8), 'Prioritization Scoring Weights'!$C$8, IF(COUNTIFS(Table1[ST Jira HOS'#], A43, Table1[Number of properties], 'Prioritization Scoring Weights'!$A$9), 'Prioritization Scoring Weights'!$C$9, 0)))</f>
        <v>4</v>
      </c>
      <c r="D43">
        <f>IF(COUNTIFS(Table1[ST Jira HOS'#],A43, Table1[GRR Impact], 'Prioritization Scoring Weights'!$A$12), 'Prioritization Scoring Weights'!$C$12, IF(COUNTIFS(Table1[ST Jira HOS'#], A43, Table1[GRR Impact], 'Prioritization Scoring Weights'!$A$13), 'Prioritization Scoring Weights'!$C$13, IF(COUNTIFS(Table1[ST Jira HOS'#], A43, Table1[GRR Impact], 'Prioritization Scoring Weights'!$A$14), 'Prioritization Scoring Weights'!$C$14, 0)))</f>
        <v>1</v>
      </c>
      <c r="E43">
        <f>IF(COUNTIFS(Table1[ST Jira HOS'#], A43,Table1[Upscale Impact], 'Prioritization Scoring Weights'!$A$17), 'Prioritization Scoring Weights'!$C$17,0)</f>
        <v>2</v>
      </c>
      <c r="F43">
        <f>IF(COUNTIFS(Table1[ST Jira HOS'#], A43, Table1[Guest Satisfaction Impact], 'Prioritization Scoring Weights'!$A$20), 'Prioritization Scoring Weights'!$C$20, IF(COUNTIFS(Table1[ST Jira HOS'#],A43, Table1[Guest Satisfaction Impact], 'Prioritization Scoring Weights'!$A$21), 'Prioritization Scoring Weights'!$C$21, IF(COUNTIFS(Table1[ST Jira HOS'#], A43, Table1[Guest Satisfaction Impact], 'Prioritization Scoring Weights'!$A$22), 'Prioritization Scoring Weights'!$C$22, 0)))</f>
        <v>2</v>
      </c>
      <c r="G43" s="60">
        <f>IF(COUNTIFS(Table1[ST Jira HOS'#], A43,Table1[Program/Function Dependency], 'Prioritization Scoring Weights'!$A$25), 'Prioritization Scoring Weights'!$C$25,0)</f>
        <v>0</v>
      </c>
      <c r="H43" s="60">
        <f>IF(COUNTIFS(Table1[ST Jira HOS'#], A43,Table1[Repeating Problem], 'Prioritization Scoring Weights'!$A$28), 'Prioritization Scoring Weights'!$C$28,0)</f>
        <v>0</v>
      </c>
      <c r="I43" s="60">
        <f>SUM(B43,C43,D43,E43,F43, Calc[[#This Row],[Program Dependency]], Calc[[#This Row],[Repeating Problem]])</f>
        <v>9</v>
      </c>
      <c r="J43" t="str">
        <f>IF(I43&gt;='Prioritization Scoring Weights'!$B$37,'Prioritization Scoring Weights'!$C$37,IF(I43&gt;='Prioritization Scoring Weights'!$B$36,'Prioritization Scoring Weights'!$C$36,IF(I43&gt;='Prioritization Scoring Weights'!$B$35,'Prioritization Scoring Weights'!$C$35,IF(I43&gt;='Prioritization Scoring Weights'!$B$34,'Prioritization Scoring Weights'!$C$34,'Prioritization Scoring Weights'!$C$33))))</f>
        <v>Low</v>
      </c>
    </row>
    <row r="44" spans="1:10" x14ac:dyDescent="0.3">
      <c r="A44" t="str">
        <f>'Open Defects'!B49</f>
        <v xml:space="preserve">HOS-18046 </v>
      </c>
      <c r="B44">
        <f>IF(COUNTIFS(Table1[ST Jira HOS'#],A44,Table1[Work around?], 'Prioritization Scoring Weights'!$A$3), 'Prioritization Scoring Weights'!$C$3,0)</f>
        <v>4</v>
      </c>
      <c r="C44">
        <f>IF(COUNTIFS(Table1[ST Jira HOS'#],A44, Table1[Number of properties], 'Prioritization Scoring Weights'!$A$7), 'Prioritization Scoring Weights'!$C$7, IF(COUNTIFS(Table1[ST Jira HOS'#],A44, Table1[Number of properties], 'Prioritization Scoring Weights'!$A$8), 'Prioritization Scoring Weights'!$C$8, IF(COUNTIFS(Table1[ST Jira HOS'#], A44, Table1[Number of properties], 'Prioritization Scoring Weights'!$A$9), 'Prioritization Scoring Weights'!$C$9, 0)))</f>
        <v>4</v>
      </c>
      <c r="D44">
        <f>IF(COUNTIFS(Table1[ST Jira HOS'#],A44, Table1[GRR Impact], 'Prioritization Scoring Weights'!$A$12), 'Prioritization Scoring Weights'!$C$12, IF(COUNTIFS(Table1[ST Jira HOS'#], A44, Table1[GRR Impact], 'Prioritization Scoring Weights'!$A$13), 'Prioritization Scoring Weights'!$C$13, IF(COUNTIFS(Table1[ST Jira HOS'#], A44, Table1[GRR Impact], 'Prioritization Scoring Weights'!$A$14), 'Prioritization Scoring Weights'!$C$14, 0)))</f>
        <v>2</v>
      </c>
      <c r="E44">
        <f>IF(COUNTIFS(Table1[ST Jira HOS'#], A44,Table1[Upscale Impact], 'Prioritization Scoring Weights'!$A$17), 'Prioritization Scoring Weights'!$C$17,0)</f>
        <v>2</v>
      </c>
      <c r="F44">
        <f>IF(COUNTIFS(Table1[ST Jira HOS'#], A44, Table1[Guest Satisfaction Impact], 'Prioritization Scoring Weights'!$A$20), 'Prioritization Scoring Weights'!$C$20, IF(COUNTIFS(Table1[ST Jira HOS'#],A44, Table1[Guest Satisfaction Impact], 'Prioritization Scoring Weights'!$A$21), 'Prioritization Scoring Weights'!$C$21, IF(COUNTIFS(Table1[ST Jira HOS'#], A44, Table1[Guest Satisfaction Impact], 'Prioritization Scoring Weights'!$A$22), 'Prioritization Scoring Weights'!$C$22, 0)))</f>
        <v>1</v>
      </c>
      <c r="G44" s="60">
        <f>IF(COUNTIFS(Table1[ST Jira HOS'#], A44,Table1[Program/Function Dependency], 'Prioritization Scoring Weights'!$A$25), 'Prioritization Scoring Weights'!$C$25,0)</f>
        <v>0</v>
      </c>
      <c r="H44" s="60">
        <f>IF(COUNTIFS(Table1[ST Jira HOS'#], A44,Table1[Repeating Problem], 'Prioritization Scoring Weights'!$A$28), 'Prioritization Scoring Weights'!$C$28,0)</f>
        <v>0</v>
      </c>
      <c r="I44" s="60">
        <f>SUM(B44,C44,D44,E44,F44, Calc[[#This Row],[Program Dependency]], Calc[[#This Row],[Repeating Problem]])</f>
        <v>13</v>
      </c>
      <c r="J44" t="str">
        <f>IF(I44&gt;='Prioritization Scoring Weights'!$B$37,'Prioritization Scoring Weights'!$C$37,IF(I44&gt;='Prioritization Scoring Weights'!$B$36,'Prioritization Scoring Weights'!$C$36,IF(I44&gt;='Prioritization Scoring Weights'!$B$35,'Prioritization Scoring Weights'!$C$35,IF(I44&gt;='Prioritization Scoring Weights'!$B$34,'Prioritization Scoring Weights'!$C$34,'Prioritization Scoring Weights'!$C$33))))</f>
        <v>Medium</v>
      </c>
    </row>
    <row r="45" spans="1:10" x14ac:dyDescent="0.3">
      <c r="A45" t="str">
        <f>'Open Defects'!B50</f>
        <v>HOS-1432</v>
      </c>
      <c r="B45">
        <f>IF(COUNTIFS(Table1[ST Jira HOS'#],A45,Table1[Work around?], 'Prioritization Scoring Weights'!$A$3), 'Prioritization Scoring Weights'!$C$3,0)</f>
        <v>4</v>
      </c>
      <c r="C45">
        <f>IF(COUNTIFS(Table1[ST Jira HOS'#],A45, Table1[Number of properties], 'Prioritization Scoring Weights'!$A$7), 'Prioritization Scoring Weights'!$C$7, IF(COUNTIFS(Table1[ST Jira HOS'#],A45, Table1[Number of properties], 'Prioritization Scoring Weights'!$A$8), 'Prioritization Scoring Weights'!$C$8, IF(COUNTIFS(Table1[ST Jira HOS'#], A45, Table1[Number of properties], 'Prioritization Scoring Weights'!$A$9), 'Prioritization Scoring Weights'!$C$9, 0)))</f>
        <v>3</v>
      </c>
      <c r="D45">
        <f>IF(COUNTIFS(Table1[ST Jira HOS'#],A45, Table1[GRR Impact], 'Prioritization Scoring Weights'!$A$12), 'Prioritization Scoring Weights'!$C$12, IF(COUNTIFS(Table1[ST Jira HOS'#], A45, Table1[GRR Impact], 'Prioritization Scoring Weights'!$A$13), 'Prioritization Scoring Weights'!$C$13, IF(COUNTIFS(Table1[ST Jira HOS'#], A45, Table1[GRR Impact], 'Prioritization Scoring Weights'!$A$14), 'Prioritization Scoring Weights'!$C$14, 0)))</f>
        <v>1</v>
      </c>
      <c r="E45">
        <f>IF(COUNTIFS(Table1[ST Jira HOS'#], A45,Table1[Upscale Impact], 'Prioritization Scoring Weights'!$A$17), 'Prioritization Scoring Weights'!$C$17,0)</f>
        <v>0</v>
      </c>
      <c r="F45">
        <f>IF(COUNTIFS(Table1[ST Jira HOS'#], A45, Table1[Guest Satisfaction Impact], 'Prioritization Scoring Weights'!$A$20), 'Prioritization Scoring Weights'!$C$20, IF(COUNTIFS(Table1[ST Jira HOS'#],A45, Table1[Guest Satisfaction Impact], 'Prioritization Scoring Weights'!$A$21), 'Prioritization Scoring Weights'!$C$21, IF(COUNTIFS(Table1[ST Jira HOS'#], A45, Table1[Guest Satisfaction Impact], 'Prioritization Scoring Weights'!$A$22), 'Prioritization Scoring Weights'!$C$22, 0)))</f>
        <v>3</v>
      </c>
      <c r="G45" s="60">
        <f>IF(COUNTIFS(Table1[ST Jira HOS'#], A45,Table1[Program/Function Dependency], 'Prioritization Scoring Weights'!$A$25), 'Prioritization Scoring Weights'!$C$25,0)</f>
        <v>0</v>
      </c>
      <c r="H45" s="60">
        <f>IF(COUNTIFS(Table1[ST Jira HOS'#], A45,Table1[Repeating Problem], 'Prioritization Scoring Weights'!$A$28), 'Prioritization Scoring Weights'!$C$28,0)</f>
        <v>0</v>
      </c>
      <c r="I45" s="60">
        <f>SUM(B45,C45,D45,E45,F45, Calc[[#This Row],[Program Dependency]], Calc[[#This Row],[Repeating Problem]])</f>
        <v>11</v>
      </c>
      <c r="J45" t="str">
        <f>IF(I45&gt;='Prioritization Scoring Weights'!$B$37,'Prioritization Scoring Weights'!$C$37,IF(I45&gt;='Prioritization Scoring Weights'!$B$36,'Prioritization Scoring Weights'!$C$36,IF(I45&gt;='Prioritization Scoring Weights'!$B$35,'Prioritization Scoring Weights'!$C$35,IF(I45&gt;='Prioritization Scoring Weights'!$B$34,'Prioritization Scoring Weights'!$C$34,'Prioritization Scoring Weights'!$C$33))))</f>
        <v>Low</v>
      </c>
    </row>
    <row r="46" spans="1:10" x14ac:dyDescent="0.3">
      <c r="A46" t="str">
        <f>'Open Defects'!B51</f>
        <v>HOS-13237</v>
      </c>
      <c r="B46">
        <f>IF(COUNTIFS(Table1[ST Jira HOS'#],A46,Table1[Work around?], 'Prioritization Scoring Weights'!$A$3), 'Prioritization Scoring Weights'!$C$3,0)</f>
        <v>4</v>
      </c>
      <c r="C46">
        <f>IF(COUNTIFS(Table1[ST Jira HOS'#],A46, Table1[Number of properties], 'Prioritization Scoring Weights'!$A$7), 'Prioritization Scoring Weights'!$C$7, IF(COUNTIFS(Table1[ST Jira HOS'#],A46, Table1[Number of properties], 'Prioritization Scoring Weights'!$A$8), 'Prioritization Scoring Weights'!$C$8, IF(COUNTIFS(Table1[ST Jira HOS'#], A46, Table1[Number of properties], 'Prioritization Scoring Weights'!$A$9), 'Prioritization Scoring Weights'!$C$9, 0)))</f>
        <v>4</v>
      </c>
      <c r="D46">
        <f>IF(COUNTIFS(Table1[ST Jira HOS'#],A46, Table1[GRR Impact], 'Prioritization Scoring Weights'!$A$12), 'Prioritization Scoring Weights'!$C$12, IF(COUNTIFS(Table1[ST Jira HOS'#], A46, Table1[GRR Impact], 'Prioritization Scoring Weights'!$A$13), 'Prioritization Scoring Weights'!$C$13, IF(COUNTIFS(Table1[ST Jira HOS'#], A46, Table1[GRR Impact], 'Prioritization Scoring Weights'!$A$14), 'Prioritization Scoring Weights'!$C$14, 0)))</f>
        <v>1</v>
      </c>
      <c r="E46">
        <f>IF(COUNTIFS(Table1[ST Jira HOS'#], A46,Table1[Upscale Impact], 'Prioritization Scoring Weights'!$A$17), 'Prioritization Scoring Weights'!$C$17,0)</f>
        <v>2</v>
      </c>
      <c r="F46">
        <f>IF(COUNTIFS(Table1[ST Jira HOS'#], A46, Table1[Guest Satisfaction Impact], 'Prioritization Scoring Weights'!$A$20), 'Prioritization Scoring Weights'!$C$20, IF(COUNTIFS(Table1[ST Jira HOS'#],A46, Table1[Guest Satisfaction Impact], 'Prioritization Scoring Weights'!$A$21), 'Prioritization Scoring Weights'!$C$21, IF(COUNTIFS(Table1[ST Jira HOS'#], A46, Table1[Guest Satisfaction Impact], 'Prioritization Scoring Weights'!$A$22), 'Prioritization Scoring Weights'!$C$22, 0)))</f>
        <v>1</v>
      </c>
      <c r="G46" s="60">
        <f>IF(COUNTIFS(Table1[ST Jira HOS'#], A46,Table1[Program/Function Dependency], 'Prioritization Scoring Weights'!$A$25), 'Prioritization Scoring Weights'!$C$25,0)</f>
        <v>0</v>
      </c>
      <c r="H46" s="60">
        <f>IF(COUNTIFS(Table1[ST Jira HOS'#], A46,Table1[Repeating Problem], 'Prioritization Scoring Weights'!$A$28), 'Prioritization Scoring Weights'!$C$28,0)</f>
        <v>0</v>
      </c>
      <c r="I46" s="60">
        <f>SUM(B46,C46,D46,E46,F46, Calc[[#This Row],[Program Dependency]], Calc[[#This Row],[Repeating Problem]])</f>
        <v>12</v>
      </c>
      <c r="J46" t="str">
        <f>IF(I46&gt;='Prioritization Scoring Weights'!$B$37,'Prioritization Scoring Weights'!$C$37,IF(I46&gt;='Prioritization Scoring Weights'!$B$36,'Prioritization Scoring Weights'!$C$36,IF(I46&gt;='Prioritization Scoring Weights'!$B$35,'Prioritization Scoring Weights'!$C$35,IF(I46&gt;='Prioritization Scoring Weights'!$B$34,'Prioritization Scoring Weights'!$C$34,'Prioritization Scoring Weights'!$C$33))))</f>
        <v>Medium</v>
      </c>
    </row>
    <row r="47" spans="1:10" x14ac:dyDescent="0.3">
      <c r="A47" t="str">
        <f>'Open Defects'!B52</f>
        <v>HOS-11346</v>
      </c>
      <c r="B47">
        <f>IF(COUNTIFS(Table1[ST Jira HOS'#],A47,Table1[Work around?], 'Prioritization Scoring Weights'!$A$3), 'Prioritization Scoring Weights'!$C$3,0)</f>
        <v>4</v>
      </c>
      <c r="C47">
        <f>IF(COUNTIFS(Table1[ST Jira HOS'#],A47, Table1[Number of properties], 'Prioritization Scoring Weights'!$A$7), 'Prioritization Scoring Weights'!$C$7, IF(COUNTIFS(Table1[ST Jira HOS'#],A47, Table1[Number of properties], 'Prioritization Scoring Weights'!$A$8), 'Prioritization Scoring Weights'!$C$8, IF(COUNTIFS(Table1[ST Jira HOS'#], A47, Table1[Number of properties], 'Prioritization Scoring Weights'!$A$9), 'Prioritization Scoring Weights'!$C$9, 0)))</f>
        <v>3</v>
      </c>
      <c r="D47">
        <f>IF(COUNTIFS(Table1[ST Jira HOS'#],A47, Table1[GRR Impact], 'Prioritization Scoring Weights'!$A$12), 'Prioritization Scoring Weights'!$C$12, IF(COUNTIFS(Table1[ST Jira HOS'#], A47, Table1[GRR Impact], 'Prioritization Scoring Weights'!$A$13), 'Prioritization Scoring Weights'!$C$13, IF(COUNTIFS(Table1[ST Jira HOS'#], A47, Table1[GRR Impact], 'Prioritization Scoring Weights'!$A$14), 'Prioritization Scoring Weights'!$C$14, 0)))</f>
        <v>1</v>
      </c>
      <c r="E47">
        <f>IF(COUNTIFS(Table1[ST Jira HOS'#], A47,Table1[Upscale Impact], 'Prioritization Scoring Weights'!$A$17), 'Prioritization Scoring Weights'!$C$17,0)</f>
        <v>0</v>
      </c>
      <c r="F47">
        <f>IF(COUNTIFS(Table1[ST Jira HOS'#], A47, Table1[Guest Satisfaction Impact], 'Prioritization Scoring Weights'!$A$20), 'Prioritization Scoring Weights'!$C$20, IF(COUNTIFS(Table1[ST Jira HOS'#],A47, Table1[Guest Satisfaction Impact], 'Prioritization Scoring Weights'!$A$21), 'Prioritization Scoring Weights'!$C$21, IF(COUNTIFS(Table1[ST Jira HOS'#], A47, Table1[Guest Satisfaction Impact], 'Prioritization Scoring Weights'!$A$22), 'Prioritization Scoring Weights'!$C$22, 0)))</f>
        <v>1</v>
      </c>
      <c r="G47" s="60">
        <f>IF(COUNTIFS(Table1[ST Jira HOS'#], A47,Table1[Program/Function Dependency], 'Prioritization Scoring Weights'!$A$25), 'Prioritization Scoring Weights'!$C$25,0)</f>
        <v>0</v>
      </c>
      <c r="H47" s="60">
        <f>IF(COUNTIFS(Table1[ST Jira HOS'#], A47,Table1[Repeating Problem], 'Prioritization Scoring Weights'!$A$28), 'Prioritization Scoring Weights'!$C$28,0)</f>
        <v>0</v>
      </c>
      <c r="I47" s="60">
        <f>SUM(B47,C47,D47,E47,F47, Calc[[#This Row],[Program Dependency]], Calc[[#This Row],[Repeating Problem]])</f>
        <v>9</v>
      </c>
      <c r="J47" t="str">
        <f>IF(I47&gt;='Prioritization Scoring Weights'!$B$37,'Prioritization Scoring Weights'!$C$37,IF(I47&gt;='Prioritization Scoring Weights'!$B$36,'Prioritization Scoring Weights'!$C$36,IF(I47&gt;='Prioritization Scoring Weights'!$B$35,'Prioritization Scoring Weights'!$C$35,IF(I47&gt;='Prioritization Scoring Weights'!$B$34,'Prioritization Scoring Weights'!$C$34,'Prioritization Scoring Weights'!$C$33))))</f>
        <v>Low</v>
      </c>
    </row>
    <row r="48" spans="1:10" x14ac:dyDescent="0.3">
      <c r="A48" t="str">
        <f>'Open Defects'!B53</f>
        <v>HOS-17330</v>
      </c>
      <c r="B48">
        <f>IF(COUNTIFS(Table1[ST Jira HOS'#],A48,Table1[Work around?], 'Prioritization Scoring Weights'!$A$3), 'Prioritization Scoring Weights'!$C$3,0)</f>
        <v>0</v>
      </c>
      <c r="C48">
        <f>IF(COUNTIFS(Table1[ST Jira HOS'#],A48, Table1[Number of properties], 'Prioritization Scoring Weights'!$A$7), 'Prioritization Scoring Weights'!$C$7, IF(COUNTIFS(Table1[ST Jira HOS'#],A48, Table1[Number of properties], 'Prioritization Scoring Weights'!$A$8), 'Prioritization Scoring Weights'!$C$8, IF(COUNTIFS(Table1[ST Jira HOS'#], A48, Table1[Number of properties], 'Prioritization Scoring Weights'!$A$9), 'Prioritization Scoring Weights'!$C$9, 0)))</f>
        <v>4</v>
      </c>
      <c r="D48">
        <f>IF(COUNTIFS(Table1[ST Jira HOS'#],A48, Table1[GRR Impact], 'Prioritization Scoring Weights'!$A$12), 'Prioritization Scoring Weights'!$C$12, IF(COUNTIFS(Table1[ST Jira HOS'#], A48, Table1[GRR Impact], 'Prioritization Scoring Weights'!$A$13), 'Prioritization Scoring Weights'!$C$13, IF(COUNTIFS(Table1[ST Jira HOS'#], A48, Table1[GRR Impact], 'Prioritization Scoring Weights'!$A$14), 'Prioritization Scoring Weights'!$C$14, 0)))</f>
        <v>1</v>
      </c>
      <c r="E48">
        <f>IF(COUNTIFS(Table1[ST Jira HOS'#], A48,Table1[Upscale Impact], 'Prioritization Scoring Weights'!$A$17), 'Prioritization Scoring Weights'!$C$17,0)</f>
        <v>2</v>
      </c>
      <c r="F48">
        <f>IF(COUNTIFS(Table1[ST Jira HOS'#], A48, Table1[Guest Satisfaction Impact], 'Prioritization Scoring Weights'!$A$20), 'Prioritization Scoring Weights'!$C$20, IF(COUNTIFS(Table1[ST Jira HOS'#],A48, Table1[Guest Satisfaction Impact], 'Prioritization Scoring Weights'!$A$21), 'Prioritization Scoring Weights'!$C$21, IF(COUNTIFS(Table1[ST Jira HOS'#], A48, Table1[Guest Satisfaction Impact], 'Prioritization Scoring Weights'!$A$22), 'Prioritization Scoring Weights'!$C$22, 0)))</f>
        <v>2</v>
      </c>
      <c r="G48" s="60">
        <f>IF(COUNTIFS(Table1[ST Jira HOS'#], A48,Table1[Program/Function Dependency], 'Prioritization Scoring Weights'!$A$25), 'Prioritization Scoring Weights'!$C$25,0)</f>
        <v>0</v>
      </c>
      <c r="H48" s="60">
        <f>IF(COUNTIFS(Table1[ST Jira HOS'#], A48,Table1[Repeating Problem], 'Prioritization Scoring Weights'!$A$28), 'Prioritization Scoring Weights'!$C$28,0)</f>
        <v>0</v>
      </c>
      <c r="I48" s="60">
        <f>SUM(B48,C48,D48,E48,F48, Calc[[#This Row],[Program Dependency]], Calc[[#This Row],[Repeating Problem]])</f>
        <v>9</v>
      </c>
      <c r="J48" t="str">
        <f>IF(I48&gt;='Prioritization Scoring Weights'!$B$37,'Prioritization Scoring Weights'!$C$37,IF(I48&gt;='Prioritization Scoring Weights'!$B$36,'Prioritization Scoring Weights'!$C$36,IF(I48&gt;='Prioritization Scoring Weights'!$B$35,'Prioritization Scoring Weights'!$C$35,IF(I48&gt;='Prioritization Scoring Weights'!$B$34,'Prioritization Scoring Weights'!$C$34,'Prioritization Scoring Weights'!$C$33))))</f>
        <v>Low</v>
      </c>
    </row>
    <row r="49" spans="1:10" x14ac:dyDescent="0.3">
      <c r="A49" t="str">
        <f>'Open Defects'!B54</f>
        <v>HOS-2395</v>
      </c>
      <c r="B49">
        <f>IF(COUNTIFS(Table1[ST Jira HOS'#],A49,Table1[Work around?], 'Prioritization Scoring Weights'!$A$3), 'Prioritization Scoring Weights'!$C$3,0)</f>
        <v>0</v>
      </c>
      <c r="C49">
        <f>IF(COUNTIFS(Table1[ST Jira HOS'#],A49, Table1[Number of properties], 'Prioritization Scoring Weights'!$A$7), 'Prioritization Scoring Weights'!$C$7, IF(COUNTIFS(Table1[ST Jira HOS'#],A49, Table1[Number of properties], 'Prioritization Scoring Weights'!$A$8), 'Prioritization Scoring Weights'!$C$8, IF(COUNTIFS(Table1[ST Jira HOS'#], A49, Table1[Number of properties], 'Prioritization Scoring Weights'!$A$9), 'Prioritization Scoring Weights'!$C$9, 0)))</f>
        <v>4</v>
      </c>
      <c r="D49">
        <f>IF(COUNTIFS(Table1[ST Jira HOS'#],A49, Table1[GRR Impact], 'Prioritization Scoring Weights'!$A$12), 'Prioritization Scoring Weights'!$C$12, IF(COUNTIFS(Table1[ST Jira HOS'#], A49, Table1[GRR Impact], 'Prioritization Scoring Weights'!$A$13), 'Prioritization Scoring Weights'!$C$13, IF(COUNTIFS(Table1[ST Jira HOS'#], A49, Table1[GRR Impact], 'Prioritization Scoring Weights'!$A$14), 'Prioritization Scoring Weights'!$C$14, 0)))</f>
        <v>3</v>
      </c>
      <c r="E49">
        <f>IF(COUNTIFS(Table1[ST Jira HOS'#], A49,Table1[Upscale Impact], 'Prioritization Scoring Weights'!$A$17), 'Prioritization Scoring Weights'!$C$17,0)</f>
        <v>2</v>
      </c>
      <c r="F49">
        <f>IF(COUNTIFS(Table1[ST Jira HOS'#], A49, Table1[Guest Satisfaction Impact], 'Prioritization Scoring Weights'!$A$20), 'Prioritization Scoring Weights'!$C$20, IF(COUNTIFS(Table1[ST Jira HOS'#],A49, Table1[Guest Satisfaction Impact], 'Prioritization Scoring Weights'!$A$21), 'Prioritization Scoring Weights'!$C$21, IF(COUNTIFS(Table1[ST Jira HOS'#], A49, Table1[Guest Satisfaction Impact], 'Prioritization Scoring Weights'!$A$22), 'Prioritization Scoring Weights'!$C$22, 0)))</f>
        <v>1</v>
      </c>
      <c r="G49" s="60">
        <f>IF(COUNTIFS(Table1[ST Jira HOS'#], A49,Table1[Program/Function Dependency], 'Prioritization Scoring Weights'!$A$25), 'Prioritization Scoring Weights'!$C$25,0)</f>
        <v>0</v>
      </c>
      <c r="H49" s="60">
        <f>IF(COUNTIFS(Table1[ST Jira HOS'#], A49,Table1[Repeating Problem], 'Prioritization Scoring Weights'!$A$28), 'Prioritization Scoring Weights'!$C$28,0)</f>
        <v>0</v>
      </c>
      <c r="I49" s="60">
        <f>SUM(B49,C49,D49,E49,F49, Calc[[#This Row],[Program Dependency]], Calc[[#This Row],[Repeating Problem]])</f>
        <v>10</v>
      </c>
      <c r="J49" t="str">
        <f>IF(I49&gt;='Prioritization Scoring Weights'!$B$37,'Prioritization Scoring Weights'!$C$37,IF(I49&gt;='Prioritization Scoring Weights'!$B$36,'Prioritization Scoring Weights'!$C$36,IF(I49&gt;='Prioritization Scoring Weights'!$B$35,'Prioritization Scoring Weights'!$C$35,IF(I49&gt;='Prioritization Scoring Weights'!$B$34,'Prioritization Scoring Weights'!$C$34,'Prioritization Scoring Weights'!$C$33))))</f>
        <v>Low</v>
      </c>
    </row>
    <row r="50" spans="1:10" x14ac:dyDescent="0.3">
      <c r="A50" t="str">
        <f>'Open Defects'!B55</f>
        <v>HOS-8665</v>
      </c>
      <c r="B50">
        <f>IF(COUNTIFS(Table1[ST Jira HOS'#],A50,Table1[Work around?], 'Prioritization Scoring Weights'!$A$3), 'Prioritization Scoring Weights'!$C$3,0)</f>
        <v>0</v>
      </c>
      <c r="C50">
        <f>IF(COUNTIFS(Table1[ST Jira HOS'#],A50, Table1[Number of properties], 'Prioritization Scoring Weights'!$A$7), 'Prioritization Scoring Weights'!$C$7, IF(COUNTIFS(Table1[ST Jira HOS'#],A50, Table1[Number of properties], 'Prioritization Scoring Weights'!$A$8), 'Prioritization Scoring Weights'!$C$8, IF(COUNTIFS(Table1[ST Jira HOS'#], A50, Table1[Number of properties], 'Prioritization Scoring Weights'!$A$9), 'Prioritization Scoring Weights'!$C$9, 0)))</f>
        <v>4</v>
      </c>
      <c r="D50">
        <f>IF(COUNTIFS(Table1[ST Jira HOS'#],A50, Table1[GRR Impact], 'Prioritization Scoring Weights'!$A$12), 'Prioritization Scoring Weights'!$C$12, IF(COUNTIFS(Table1[ST Jira HOS'#], A50, Table1[GRR Impact], 'Prioritization Scoring Weights'!$A$13), 'Prioritization Scoring Weights'!$C$13, IF(COUNTIFS(Table1[ST Jira HOS'#], A50, Table1[GRR Impact], 'Prioritization Scoring Weights'!$A$14), 'Prioritization Scoring Weights'!$C$14, 0)))</f>
        <v>2</v>
      </c>
      <c r="E50">
        <f>IF(COUNTIFS(Table1[ST Jira HOS'#], A50,Table1[Upscale Impact], 'Prioritization Scoring Weights'!$A$17), 'Prioritization Scoring Weights'!$C$17,0)</f>
        <v>2</v>
      </c>
      <c r="F50">
        <f>IF(COUNTIFS(Table1[ST Jira HOS'#], A50, Table1[Guest Satisfaction Impact], 'Prioritization Scoring Weights'!$A$20), 'Prioritization Scoring Weights'!$C$20, IF(COUNTIFS(Table1[ST Jira HOS'#],A50, Table1[Guest Satisfaction Impact], 'Prioritization Scoring Weights'!$A$21), 'Prioritization Scoring Weights'!$C$21, IF(COUNTIFS(Table1[ST Jira HOS'#], A50, Table1[Guest Satisfaction Impact], 'Prioritization Scoring Weights'!$A$22), 'Prioritization Scoring Weights'!$C$22, 0)))</f>
        <v>1</v>
      </c>
      <c r="G50" s="60">
        <f>IF(COUNTIFS(Table1[ST Jira HOS'#], A50,Table1[Program/Function Dependency], 'Prioritization Scoring Weights'!$A$25), 'Prioritization Scoring Weights'!$C$25,0)</f>
        <v>0</v>
      </c>
      <c r="H50" s="60">
        <f>IF(COUNTIFS(Table1[ST Jira HOS'#], A50,Table1[Repeating Problem], 'Prioritization Scoring Weights'!$A$28), 'Prioritization Scoring Weights'!$C$28,0)</f>
        <v>0</v>
      </c>
      <c r="I50" s="60">
        <f>SUM(B50,C50,D50,E50,F50, Calc[[#This Row],[Program Dependency]], Calc[[#This Row],[Repeating Problem]])</f>
        <v>9</v>
      </c>
      <c r="J50" t="str">
        <f>IF(I50&gt;='Prioritization Scoring Weights'!$B$37,'Prioritization Scoring Weights'!$C$37,IF(I50&gt;='Prioritization Scoring Weights'!$B$36,'Prioritization Scoring Weights'!$C$36,IF(I50&gt;='Prioritization Scoring Weights'!$B$35,'Prioritization Scoring Weights'!$C$35,IF(I50&gt;='Prioritization Scoring Weights'!$B$34,'Prioritization Scoring Weights'!$C$34,'Prioritization Scoring Weights'!$C$33))))</f>
        <v>Low</v>
      </c>
    </row>
    <row r="51" spans="1:10" x14ac:dyDescent="0.3">
      <c r="A51" s="127" t="str">
        <f>'Open Defects'!B56</f>
        <v>HOS-12973</v>
      </c>
      <c r="B51">
        <f>IF(COUNTIFS(Table1[ST Jira HOS'#],A51,Table1[Work around?], 'Prioritization Scoring Weights'!$A$3), 'Prioritization Scoring Weights'!$C$3,0)</f>
        <v>4</v>
      </c>
      <c r="C51">
        <f>IF(COUNTIFS(Table1[ST Jira HOS'#],A51, Table1[Number of properties], 'Prioritization Scoring Weights'!$A$7), 'Prioritization Scoring Weights'!$C$7, IF(COUNTIFS(Table1[ST Jira HOS'#],A51, Table1[Number of properties], 'Prioritization Scoring Weights'!$A$8), 'Prioritization Scoring Weights'!$C$8, IF(COUNTIFS(Table1[ST Jira HOS'#], A51, Table1[Number of properties], 'Prioritization Scoring Weights'!$A$9), 'Prioritization Scoring Weights'!$C$9, 0)))</f>
        <v>0</v>
      </c>
      <c r="D51">
        <f>IF(COUNTIFS(Table1[ST Jira HOS'#],A51, Table1[GRR Impact], 'Prioritization Scoring Weights'!$A$12), 'Prioritization Scoring Weights'!$C$12, IF(COUNTIFS(Table1[ST Jira HOS'#], A51, Table1[GRR Impact], 'Prioritization Scoring Weights'!$A$13), 'Prioritization Scoring Weights'!$C$13, IF(COUNTIFS(Table1[ST Jira HOS'#], A51, Table1[GRR Impact], 'Prioritization Scoring Weights'!$A$14), 'Prioritization Scoring Weights'!$C$14, 0)))</f>
        <v>0</v>
      </c>
      <c r="E51">
        <f>IF(COUNTIFS(Table1[ST Jira HOS'#], A51,Table1[Upscale Impact], 'Prioritization Scoring Weights'!$A$17), 'Prioritization Scoring Weights'!$C$17,0)</f>
        <v>0</v>
      </c>
      <c r="F51">
        <f>IF(COUNTIFS(Table1[ST Jira HOS'#], A51, Table1[Guest Satisfaction Impact], 'Prioritization Scoring Weights'!$A$20), 'Prioritization Scoring Weights'!$C$20, IF(COUNTIFS(Table1[ST Jira HOS'#],A51, Table1[Guest Satisfaction Impact], 'Prioritization Scoring Weights'!$A$21), 'Prioritization Scoring Weights'!$C$21, IF(COUNTIFS(Table1[ST Jira HOS'#], A51, Table1[Guest Satisfaction Impact], 'Prioritization Scoring Weights'!$A$22), 'Prioritization Scoring Weights'!$C$22, 0)))</f>
        <v>0</v>
      </c>
      <c r="G51" s="60">
        <f>IF(COUNTIFS(Table1[ST Jira HOS'#], A51,Table1[Program/Function Dependency], 'Prioritization Scoring Weights'!$A$25), 'Prioritization Scoring Weights'!$C$25,0)</f>
        <v>0</v>
      </c>
      <c r="H51" s="60">
        <f>IF(COUNTIFS(Table1[ST Jira HOS'#], A51,Table1[Repeating Problem], 'Prioritization Scoring Weights'!$A$28), 'Prioritization Scoring Weights'!$C$28,0)</f>
        <v>0</v>
      </c>
      <c r="I51" s="60">
        <f>SUM(B51,C51,D51,E51,F51, Calc[[#This Row],[Program Dependency]], Calc[[#This Row],[Repeating Problem]])</f>
        <v>4</v>
      </c>
      <c r="J51" t="str">
        <f>IF(I51&gt;='Prioritization Scoring Weights'!$B$37,'Prioritization Scoring Weights'!$C$37,IF(I51&gt;='Prioritization Scoring Weights'!$B$36,'Prioritization Scoring Weights'!$C$36,IF(I51&gt;='Prioritization Scoring Weights'!$B$35,'Prioritization Scoring Weights'!$C$35,IF(I51&gt;='Prioritization Scoring Weights'!$B$34,'Prioritization Scoring Weights'!$C$34,'Prioritization Scoring Weights'!$C$33))))</f>
        <v>Very Low</v>
      </c>
    </row>
    <row r="52" spans="1:10" x14ac:dyDescent="0.3">
      <c r="A52" s="127" t="str">
        <f>'Open Defects'!B57</f>
        <v>HOS-9199</v>
      </c>
      <c r="B52">
        <f>IF(COUNTIFS(Table1[ST Jira HOS'#],A52,Table1[Work around?], 'Prioritization Scoring Weights'!$A$3), 'Prioritization Scoring Weights'!$C$3,0)</f>
        <v>4</v>
      </c>
      <c r="C52">
        <f>IF(COUNTIFS(Table1[ST Jira HOS'#],A52, Table1[Number of properties], 'Prioritization Scoring Weights'!$A$7), 'Prioritization Scoring Weights'!$C$7, IF(COUNTIFS(Table1[ST Jira HOS'#],A52, Table1[Number of properties], 'Prioritization Scoring Weights'!$A$8), 'Prioritization Scoring Weights'!$C$8, IF(COUNTIFS(Table1[ST Jira HOS'#], A52, Table1[Number of properties], 'Prioritization Scoring Weights'!$A$9), 'Prioritization Scoring Weights'!$C$9, 0)))</f>
        <v>4</v>
      </c>
      <c r="D52">
        <f>IF(COUNTIFS(Table1[ST Jira HOS'#],A52, Table1[GRR Impact], 'Prioritization Scoring Weights'!$A$12), 'Prioritization Scoring Weights'!$C$12, IF(COUNTIFS(Table1[ST Jira HOS'#], A52, Table1[GRR Impact], 'Prioritization Scoring Weights'!$A$13), 'Prioritization Scoring Weights'!$C$13, IF(COUNTIFS(Table1[ST Jira HOS'#], A52, Table1[GRR Impact], 'Prioritization Scoring Weights'!$A$14), 'Prioritization Scoring Weights'!$C$14, 0)))</f>
        <v>1</v>
      </c>
      <c r="E52">
        <f>IF(COUNTIFS(Table1[ST Jira HOS'#], A52,Table1[Upscale Impact], 'Prioritization Scoring Weights'!$A$17), 'Prioritization Scoring Weights'!$C$17,0)</f>
        <v>2</v>
      </c>
      <c r="F52">
        <f>IF(COUNTIFS(Table1[ST Jira HOS'#], A52, Table1[Guest Satisfaction Impact], 'Prioritization Scoring Weights'!$A$20), 'Prioritization Scoring Weights'!$C$20, IF(COUNTIFS(Table1[ST Jira HOS'#],A52, Table1[Guest Satisfaction Impact], 'Prioritization Scoring Weights'!$A$21), 'Prioritization Scoring Weights'!$C$21, IF(COUNTIFS(Table1[ST Jira HOS'#], A52, Table1[Guest Satisfaction Impact], 'Prioritization Scoring Weights'!$A$22), 'Prioritization Scoring Weights'!$C$22, 0)))</f>
        <v>1</v>
      </c>
      <c r="G52" s="60">
        <f>IF(COUNTIFS(Table1[ST Jira HOS'#], A52,Table1[Program/Function Dependency], 'Prioritization Scoring Weights'!$A$25), 'Prioritization Scoring Weights'!$C$25,0)</f>
        <v>2</v>
      </c>
      <c r="H52" s="60">
        <f>IF(COUNTIFS(Table1[ST Jira HOS'#], A52,Table1[Repeating Problem], 'Prioritization Scoring Weights'!$A$28), 'Prioritization Scoring Weights'!$C$28,0)</f>
        <v>0</v>
      </c>
      <c r="I52" s="60">
        <f>SUM(B52,C52,D52,E52,F52, Calc[[#This Row],[Program Dependency]], Calc[[#This Row],[Repeating Problem]])</f>
        <v>14</v>
      </c>
      <c r="J52" t="str">
        <f>IF(I52&gt;='Prioritization Scoring Weights'!$B$37,'Prioritization Scoring Weights'!$C$37,IF(I52&gt;='Prioritization Scoring Weights'!$B$36,'Prioritization Scoring Weights'!$C$36,IF(I52&gt;='Prioritization Scoring Weights'!$B$35,'Prioritization Scoring Weights'!$C$35,IF(I52&gt;='Prioritization Scoring Weights'!$B$34,'Prioritization Scoring Weights'!$C$34,'Prioritization Scoring Weights'!$C$33))))</f>
        <v>High</v>
      </c>
    </row>
    <row r="53" spans="1:10" x14ac:dyDescent="0.3">
      <c r="A53" s="127" t="str">
        <f>'Open Defects'!B58</f>
        <v>HOS-15425</v>
      </c>
      <c r="B53">
        <f>IF(COUNTIFS(Table1[ST Jira HOS'#],A53,Table1[Work around?], 'Prioritization Scoring Weights'!$A$3), 'Prioritization Scoring Weights'!$C$3,0)</f>
        <v>4</v>
      </c>
      <c r="C53">
        <f>IF(COUNTIFS(Table1[ST Jira HOS'#],A53, Table1[Number of properties], 'Prioritization Scoring Weights'!$A$7), 'Prioritization Scoring Weights'!$C$7, IF(COUNTIFS(Table1[ST Jira HOS'#],A53, Table1[Number of properties], 'Prioritization Scoring Weights'!$A$8), 'Prioritization Scoring Weights'!$C$8, IF(COUNTIFS(Table1[ST Jira HOS'#], A53, Table1[Number of properties], 'Prioritization Scoring Weights'!$A$9), 'Prioritization Scoring Weights'!$C$9, 0)))</f>
        <v>4</v>
      </c>
      <c r="D53">
        <f>IF(COUNTIFS(Table1[ST Jira HOS'#],A53, Table1[GRR Impact], 'Prioritization Scoring Weights'!$A$12), 'Prioritization Scoring Weights'!$C$12, IF(COUNTIFS(Table1[ST Jira HOS'#], A53, Table1[GRR Impact], 'Prioritization Scoring Weights'!$A$13), 'Prioritization Scoring Weights'!$C$13, IF(COUNTIFS(Table1[ST Jira HOS'#], A53, Table1[GRR Impact], 'Prioritization Scoring Weights'!$A$14), 'Prioritization Scoring Weights'!$C$14, 0)))</f>
        <v>1</v>
      </c>
      <c r="E53">
        <f>IF(COUNTIFS(Table1[ST Jira HOS'#], A53,Table1[Upscale Impact], 'Prioritization Scoring Weights'!$A$17), 'Prioritization Scoring Weights'!$C$17,0)</f>
        <v>2</v>
      </c>
      <c r="F53">
        <f>IF(COUNTIFS(Table1[ST Jira HOS'#], A53, Table1[Guest Satisfaction Impact], 'Prioritization Scoring Weights'!$A$20), 'Prioritization Scoring Weights'!$C$20, IF(COUNTIFS(Table1[ST Jira HOS'#],A53, Table1[Guest Satisfaction Impact], 'Prioritization Scoring Weights'!$A$21), 'Prioritization Scoring Weights'!$C$21, IF(COUNTIFS(Table1[ST Jira HOS'#], A53, Table1[Guest Satisfaction Impact], 'Prioritization Scoring Weights'!$A$22), 'Prioritization Scoring Weights'!$C$22, 0)))</f>
        <v>3</v>
      </c>
      <c r="G53" s="60">
        <f>IF(COUNTIFS(Table1[ST Jira HOS'#], A53,Table1[Program/Function Dependency], 'Prioritization Scoring Weights'!$A$25), 'Prioritization Scoring Weights'!$C$25,0)</f>
        <v>2</v>
      </c>
      <c r="H53" s="60">
        <f>IF(COUNTIFS(Table1[ST Jira HOS'#], A53,Table1[Repeating Problem], 'Prioritization Scoring Weights'!$A$28), 'Prioritization Scoring Weights'!$C$28,0)</f>
        <v>0</v>
      </c>
      <c r="I53" s="60">
        <f>SUM(B53,C53,D53,E53,F53, Calc[[#This Row],[Program Dependency]], Calc[[#This Row],[Repeating Problem]])</f>
        <v>16</v>
      </c>
      <c r="J53" t="str">
        <f>IF(I53&gt;='Prioritization Scoring Weights'!$B$37,'Prioritization Scoring Weights'!$C$37,IF(I53&gt;='Prioritization Scoring Weights'!$B$36,'Prioritization Scoring Weights'!$C$36,IF(I53&gt;='Prioritization Scoring Weights'!$B$35,'Prioritization Scoring Weights'!$C$35,IF(I53&gt;='Prioritization Scoring Weights'!$B$34,'Prioritization Scoring Weights'!$C$34,'Prioritization Scoring Weights'!$C$33))))</f>
        <v>Critical</v>
      </c>
    </row>
    <row r="54" spans="1:10" x14ac:dyDescent="0.3">
      <c r="A54" s="127" t="str">
        <f>'Open Defects'!B59</f>
        <v>HOS-17317</v>
      </c>
      <c r="B54">
        <f>IF(COUNTIFS(Table1[ST Jira HOS'#],A54,Table1[Work around?], 'Prioritization Scoring Weights'!$A$3), 'Prioritization Scoring Weights'!$C$3,0)</f>
        <v>4</v>
      </c>
      <c r="C54">
        <f>IF(COUNTIFS(Table1[ST Jira HOS'#],A54, Table1[Number of properties], 'Prioritization Scoring Weights'!$A$7), 'Prioritization Scoring Weights'!$C$7, IF(COUNTIFS(Table1[ST Jira HOS'#],A54, Table1[Number of properties], 'Prioritization Scoring Weights'!$A$8), 'Prioritization Scoring Weights'!$C$8, IF(COUNTIFS(Table1[ST Jira HOS'#], A54, Table1[Number of properties], 'Prioritization Scoring Weights'!$A$9), 'Prioritization Scoring Weights'!$C$9, 0)))</f>
        <v>4</v>
      </c>
      <c r="D54">
        <f>IF(COUNTIFS(Table1[ST Jira HOS'#],A54, Table1[GRR Impact], 'Prioritization Scoring Weights'!$A$12), 'Prioritization Scoring Weights'!$C$12, IF(COUNTIFS(Table1[ST Jira HOS'#], A54, Table1[GRR Impact], 'Prioritization Scoring Weights'!$A$13), 'Prioritization Scoring Weights'!$C$13, IF(COUNTIFS(Table1[ST Jira HOS'#], A54, Table1[GRR Impact], 'Prioritization Scoring Weights'!$A$14), 'Prioritization Scoring Weights'!$C$14, 0)))</f>
        <v>3</v>
      </c>
      <c r="E54">
        <f>IF(COUNTIFS(Table1[ST Jira HOS'#], A54,Table1[Upscale Impact], 'Prioritization Scoring Weights'!$A$17), 'Prioritization Scoring Weights'!$C$17,0)</f>
        <v>2</v>
      </c>
      <c r="F54">
        <f>IF(COUNTIFS(Table1[ST Jira HOS'#], A54, Table1[Guest Satisfaction Impact], 'Prioritization Scoring Weights'!$A$20), 'Prioritization Scoring Weights'!$C$20, IF(COUNTIFS(Table1[ST Jira HOS'#],A54, Table1[Guest Satisfaction Impact], 'Prioritization Scoring Weights'!$A$21), 'Prioritization Scoring Weights'!$C$21, IF(COUNTIFS(Table1[ST Jira HOS'#], A54, Table1[Guest Satisfaction Impact], 'Prioritization Scoring Weights'!$A$22), 'Prioritization Scoring Weights'!$C$22, 0)))</f>
        <v>2</v>
      </c>
      <c r="G54" s="60">
        <f>IF(COUNTIFS(Table1[ST Jira HOS'#], A54,Table1[Program/Function Dependency], 'Prioritization Scoring Weights'!$A$25), 'Prioritization Scoring Weights'!$C$25,0)</f>
        <v>2</v>
      </c>
      <c r="H54" s="60">
        <f>IF(COUNTIFS(Table1[ST Jira HOS'#], A54,Table1[Repeating Problem], 'Prioritization Scoring Weights'!$A$28), 'Prioritization Scoring Weights'!$C$28,0)</f>
        <v>0</v>
      </c>
      <c r="I54" s="60">
        <f>SUM(B54,C54,D54,E54,F54, Calc[[#This Row],[Program Dependency]], Calc[[#This Row],[Repeating Problem]])</f>
        <v>17</v>
      </c>
      <c r="J54" t="str">
        <f>IF(I54&gt;='Prioritization Scoring Weights'!$B$37,'Prioritization Scoring Weights'!$C$37,IF(I54&gt;='Prioritization Scoring Weights'!$B$36,'Prioritization Scoring Weights'!$C$36,IF(I54&gt;='Prioritization Scoring Weights'!$B$35,'Prioritization Scoring Weights'!$C$35,IF(I54&gt;='Prioritization Scoring Weights'!$B$34,'Prioritization Scoring Weights'!$C$34,'Prioritization Scoring Weights'!$C$33))))</f>
        <v>Critical</v>
      </c>
    </row>
    <row r="55" spans="1:10" x14ac:dyDescent="0.3">
      <c r="A55" s="127" t="str">
        <f>'Open Defects'!B60</f>
        <v>HOS-10922</v>
      </c>
      <c r="B55">
        <f>IF(COUNTIFS(Table1[ST Jira HOS'#],A55,Table1[Work around?], 'Prioritization Scoring Weights'!$A$3), 'Prioritization Scoring Weights'!$C$3,0)</f>
        <v>4</v>
      </c>
      <c r="C55">
        <f>IF(COUNTIFS(Table1[ST Jira HOS'#],A55, Table1[Number of properties], 'Prioritization Scoring Weights'!$A$7), 'Prioritization Scoring Weights'!$C$7, IF(COUNTIFS(Table1[ST Jira HOS'#],A55, Table1[Number of properties], 'Prioritization Scoring Weights'!$A$8), 'Prioritization Scoring Weights'!$C$8, IF(COUNTIFS(Table1[ST Jira HOS'#], A55, Table1[Number of properties], 'Prioritization Scoring Weights'!$A$9), 'Prioritization Scoring Weights'!$C$9, 0)))</f>
        <v>0</v>
      </c>
      <c r="D55">
        <f>IF(COUNTIFS(Table1[ST Jira HOS'#],A55, Table1[GRR Impact], 'Prioritization Scoring Weights'!$A$12), 'Prioritization Scoring Weights'!$C$12, IF(COUNTIFS(Table1[ST Jira HOS'#], A55, Table1[GRR Impact], 'Prioritization Scoring Weights'!$A$13), 'Prioritization Scoring Weights'!$C$13, IF(COUNTIFS(Table1[ST Jira HOS'#], A55, Table1[GRR Impact], 'Prioritization Scoring Weights'!$A$14), 'Prioritization Scoring Weights'!$C$14, 0)))</f>
        <v>0</v>
      </c>
      <c r="E55">
        <f>IF(COUNTIFS(Table1[ST Jira HOS'#], A55,Table1[Upscale Impact], 'Prioritization Scoring Weights'!$A$17), 'Prioritization Scoring Weights'!$C$17,0)</f>
        <v>0</v>
      </c>
      <c r="F55">
        <f>IF(COUNTIFS(Table1[ST Jira HOS'#], A55, Table1[Guest Satisfaction Impact], 'Prioritization Scoring Weights'!$A$20), 'Prioritization Scoring Weights'!$C$20, IF(COUNTIFS(Table1[ST Jira HOS'#],A55, Table1[Guest Satisfaction Impact], 'Prioritization Scoring Weights'!$A$21), 'Prioritization Scoring Weights'!$C$21, IF(COUNTIFS(Table1[ST Jira HOS'#], A55, Table1[Guest Satisfaction Impact], 'Prioritization Scoring Weights'!$A$22), 'Prioritization Scoring Weights'!$C$22, 0)))</f>
        <v>0</v>
      </c>
      <c r="G55" s="60">
        <f>IF(COUNTIFS(Table1[ST Jira HOS'#], A55,Table1[Program/Function Dependency], 'Prioritization Scoring Weights'!$A$25), 'Prioritization Scoring Weights'!$C$25,0)</f>
        <v>0</v>
      </c>
      <c r="H55" s="60">
        <f>IF(COUNTIFS(Table1[ST Jira HOS'#], A55,Table1[Repeating Problem], 'Prioritization Scoring Weights'!$A$28), 'Prioritization Scoring Weights'!$C$28,0)</f>
        <v>0</v>
      </c>
      <c r="I55" s="60">
        <f>SUM(B55,C55,D55,E55,F55, Calc[[#This Row],[Program Dependency]], Calc[[#This Row],[Repeating Problem]])</f>
        <v>4</v>
      </c>
      <c r="J55" t="str">
        <f>IF(I55&gt;='Prioritization Scoring Weights'!$B$37,'Prioritization Scoring Weights'!$C$37,IF(I55&gt;='Prioritization Scoring Weights'!$B$36,'Prioritization Scoring Weights'!$C$36,IF(I55&gt;='Prioritization Scoring Weights'!$B$35,'Prioritization Scoring Weights'!$C$35,IF(I55&gt;='Prioritization Scoring Weights'!$B$34,'Prioritization Scoring Weights'!$C$34,'Prioritization Scoring Weights'!$C$33))))</f>
        <v>Very Low</v>
      </c>
    </row>
    <row r="56" spans="1:10" x14ac:dyDescent="0.3">
      <c r="A56" s="127" t="str">
        <f>'Open Defects'!B61</f>
        <v>HOS-11610</v>
      </c>
      <c r="B56">
        <f>IF(COUNTIFS(Table1[ST Jira HOS'#],A56,Table1[Work around?], 'Prioritization Scoring Weights'!$A$3), 'Prioritization Scoring Weights'!$C$3,0)</f>
        <v>0</v>
      </c>
      <c r="C56">
        <f>IF(COUNTIFS(Table1[ST Jira HOS'#],A56, Table1[Number of properties], 'Prioritization Scoring Weights'!$A$7), 'Prioritization Scoring Weights'!$C$7, IF(COUNTIFS(Table1[ST Jira HOS'#],A56, Table1[Number of properties], 'Prioritization Scoring Weights'!$A$8), 'Prioritization Scoring Weights'!$C$8, IF(COUNTIFS(Table1[ST Jira HOS'#], A56, Table1[Number of properties], 'Prioritization Scoring Weights'!$A$9), 'Prioritization Scoring Weights'!$C$9, 0)))</f>
        <v>4</v>
      </c>
      <c r="D56">
        <f>IF(COUNTIFS(Table1[ST Jira HOS'#],A56, Table1[GRR Impact], 'Prioritization Scoring Weights'!$A$12), 'Prioritization Scoring Weights'!$C$12, IF(COUNTIFS(Table1[ST Jira HOS'#], A56, Table1[GRR Impact], 'Prioritization Scoring Weights'!$A$13), 'Prioritization Scoring Weights'!$C$13, IF(COUNTIFS(Table1[ST Jira HOS'#], A56, Table1[GRR Impact], 'Prioritization Scoring Weights'!$A$14), 'Prioritization Scoring Weights'!$C$14, 0)))</f>
        <v>3</v>
      </c>
      <c r="E56">
        <f>IF(COUNTIFS(Table1[ST Jira HOS'#], A56,Table1[Upscale Impact], 'Prioritization Scoring Weights'!$A$17), 'Prioritization Scoring Weights'!$C$17,0)</f>
        <v>2</v>
      </c>
      <c r="F56">
        <f>IF(COUNTIFS(Table1[ST Jira HOS'#], A56, Table1[Guest Satisfaction Impact], 'Prioritization Scoring Weights'!$A$20), 'Prioritization Scoring Weights'!$C$20, IF(COUNTIFS(Table1[ST Jira HOS'#],A56, Table1[Guest Satisfaction Impact], 'Prioritization Scoring Weights'!$A$21), 'Prioritization Scoring Weights'!$C$21, IF(COUNTIFS(Table1[ST Jira HOS'#], A56, Table1[Guest Satisfaction Impact], 'Prioritization Scoring Weights'!$A$22), 'Prioritization Scoring Weights'!$C$22, 0)))</f>
        <v>1</v>
      </c>
      <c r="G56" s="60">
        <f>IF(COUNTIFS(Table1[ST Jira HOS'#], A56,Table1[Program/Function Dependency], 'Prioritization Scoring Weights'!$A$25), 'Prioritization Scoring Weights'!$C$25,0)</f>
        <v>0</v>
      </c>
      <c r="H56" s="60">
        <f>IF(COUNTIFS(Table1[ST Jira HOS'#], A56,Table1[Repeating Problem], 'Prioritization Scoring Weights'!$A$28), 'Prioritization Scoring Weights'!$C$28,0)</f>
        <v>0</v>
      </c>
      <c r="I56" s="60">
        <f>SUM(B56,C56,D56,E56,F56, Calc[[#This Row],[Program Dependency]], Calc[[#This Row],[Repeating Problem]])</f>
        <v>10</v>
      </c>
      <c r="J56" t="str">
        <f>IF(I56&gt;='Prioritization Scoring Weights'!$B$37,'Prioritization Scoring Weights'!$C$37,IF(I56&gt;='Prioritization Scoring Weights'!$B$36,'Prioritization Scoring Weights'!$C$36,IF(I56&gt;='Prioritization Scoring Weights'!$B$35,'Prioritization Scoring Weights'!$C$35,IF(I56&gt;='Prioritization Scoring Weights'!$B$34,'Prioritization Scoring Weights'!$C$34,'Prioritization Scoring Weights'!$C$33))))</f>
        <v>Low</v>
      </c>
    </row>
    <row r="57" spans="1:10" x14ac:dyDescent="0.3">
      <c r="A57" s="127" t="str">
        <f>'Open Defects'!B62</f>
        <v>HOS-12665</v>
      </c>
      <c r="B57">
        <f>IF(COUNTIFS(Table1[ST Jira HOS'#],A57,Table1[Work around?], 'Prioritization Scoring Weights'!$A$3), 'Prioritization Scoring Weights'!$C$3,0)</f>
        <v>0</v>
      </c>
      <c r="C57">
        <f>IF(COUNTIFS(Table1[ST Jira HOS'#],A57, Table1[Number of properties], 'Prioritization Scoring Weights'!$A$7), 'Prioritization Scoring Weights'!$C$7, IF(COUNTIFS(Table1[ST Jira HOS'#],A57, Table1[Number of properties], 'Prioritization Scoring Weights'!$A$8), 'Prioritization Scoring Weights'!$C$8, IF(COUNTIFS(Table1[ST Jira HOS'#], A57, Table1[Number of properties], 'Prioritization Scoring Weights'!$A$9), 'Prioritization Scoring Weights'!$C$9, 0)))</f>
        <v>4</v>
      </c>
      <c r="D57">
        <f>IF(COUNTIFS(Table1[ST Jira HOS'#],A57, Table1[GRR Impact], 'Prioritization Scoring Weights'!$A$12), 'Prioritization Scoring Weights'!$C$12, IF(COUNTIFS(Table1[ST Jira HOS'#], A57, Table1[GRR Impact], 'Prioritization Scoring Weights'!$A$13), 'Prioritization Scoring Weights'!$C$13, IF(COUNTIFS(Table1[ST Jira HOS'#], A57, Table1[GRR Impact], 'Prioritization Scoring Weights'!$A$14), 'Prioritization Scoring Weights'!$C$14, 0)))</f>
        <v>3</v>
      </c>
      <c r="E57">
        <f>IF(COUNTIFS(Table1[ST Jira HOS'#], A57,Table1[Upscale Impact], 'Prioritization Scoring Weights'!$A$17), 'Prioritization Scoring Weights'!$C$17,0)</f>
        <v>2</v>
      </c>
      <c r="F57">
        <f>IF(COUNTIFS(Table1[ST Jira HOS'#], A57, Table1[Guest Satisfaction Impact], 'Prioritization Scoring Weights'!$A$20), 'Prioritization Scoring Weights'!$C$20, IF(COUNTIFS(Table1[ST Jira HOS'#],A57, Table1[Guest Satisfaction Impact], 'Prioritization Scoring Weights'!$A$21), 'Prioritization Scoring Weights'!$C$21, IF(COUNTIFS(Table1[ST Jira HOS'#], A57, Table1[Guest Satisfaction Impact], 'Prioritization Scoring Weights'!$A$22), 'Prioritization Scoring Weights'!$C$22, 0)))</f>
        <v>2</v>
      </c>
      <c r="G57" s="60">
        <f>IF(COUNTIFS(Table1[ST Jira HOS'#], A57,Table1[Program/Function Dependency], 'Prioritization Scoring Weights'!$A$25), 'Prioritization Scoring Weights'!$C$25,0)</f>
        <v>0</v>
      </c>
      <c r="H57" s="60">
        <f>IF(COUNTIFS(Table1[ST Jira HOS'#], A57,Table1[Repeating Problem], 'Prioritization Scoring Weights'!$A$28), 'Prioritization Scoring Weights'!$C$28,0)</f>
        <v>0</v>
      </c>
      <c r="I57" s="60">
        <f>SUM(B57,C57,D57,E57,F57, Calc[[#This Row],[Program Dependency]], Calc[[#This Row],[Repeating Problem]])</f>
        <v>11</v>
      </c>
      <c r="J57" t="str">
        <f>IF(I57&gt;='Prioritization Scoring Weights'!$B$37,'Prioritization Scoring Weights'!$C$37,IF(I57&gt;='Prioritization Scoring Weights'!$B$36,'Prioritization Scoring Weights'!$C$36,IF(I57&gt;='Prioritization Scoring Weights'!$B$35,'Prioritization Scoring Weights'!$C$35,IF(I57&gt;='Prioritization Scoring Weights'!$B$34,'Prioritization Scoring Weights'!$C$34,'Prioritization Scoring Weights'!$C$33))))</f>
        <v>Low</v>
      </c>
    </row>
    <row r="58" spans="1:10" x14ac:dyDescent="0.3">
      <c r="A58" s="127" t="str">
        <f>'Open Defects'!B63</f>
        <v>HOS-10512</v>
      </c>
      <c r="B58">
        <f>IF(COUNTIFS(Table1[ST Jira HOS'#],A58,Table1[Work around?], 'Prioritization Scoring Weights'!$A$3), 'Prioritization Scoring Weights'!$C$3,0)</f>
        <v>4</v>
      </c>
      <c r="C58">
        <f>IF(COUNTIFS(Table1[ST Jira HOS'#],A58, Table1[Number of properties], 'Prioritization Scoring Weights'!$A$7), 'Prioritization Scoring Weights'!$C$7, IF(COUNTIFS(Table1[ST Jira HOS'#],A58, Table1[Number of properties], 'Prioritization Scoring Weights'!$A$8), 'Prioritization Scoring Weights'!$C$8, IF(COUNTIFS(Table1[ST Jira HOS'#], A58, Table1[Number of properties], 'Prioritization Scoring Weights'!$A$9), 'Prioritization Scoring Weights'!$C$9, 0)))</f>
        <v>4</v>
      </c>
      <c r="D58">
        <f>IF(COUNTIFS(Table1[ST Jira HOS'#],A58, Table1[GRR Impact], 'Prioritization Scoring Weights'!$A$12), 'Prioritization Scoring Weights'!$C$12, IF(COUNTIFS(Table1[ST Jira HOS'#], A58, Table1[GRR Impact], 'Prioritization Scoring Weights'!$A$13), 'Prioritization Scoring Weights'!$C$13, IF(COUNTIFS(Table1[ST Jira HOS'#], A58, Table1[GRR Impact], 'Prioritization Scoring Weights'!$A$14), 'Prioritization Scoring Weights'!$C$14, 0)))</f>
        <v>2</v>
      </c>
      <c r="E58">
        <f>IF(COUNTIFS(Table1[ST Jira HOS'#], A58,Table1[Upscale Impact], 'Prioritization Scoring Weights'!$A$17), 'Prioritization Scoring Weights'!$C$17,0)</f>
        <v>2</v>
      </c>
      <c r="F58">
        <f>IF(COUNTIFS(Table1[ST Jira HOS'#], A58, Table1[Guest Satisfaction Impact], 'Prioritization Scoring Weights'!$A$20), 'Prioritization Scoring Weights'!$C$20, IF(COUNTIFS(Table1[ST Jira HOS'#],A58, Table1[Guest Satisfaction Impact], 'Prioritization Scoring Weights'!$A$21), 'Prioritization Scoring Weights'!$C$21, IF(COUNTIFS(Table1[ST Jira HOS'#], A58, Table1[Guest Satisfaction Impact], 'Prioritization Scoring Weights'!$A$22), 'Prioritization Scoring Weights'!$C$22, 0)))</f>
        <v>1</v>
      </c>
      <c r="G58" s="60">
        <f>IF(COUNTIFS(Table1[ST Jira HOS'#], A58,Table1[Program/Function Dependency], 'Prioritization Scoring Weights'!$A$25), 'Prioritization Scoring Weights'!$C$25,0)</f>
        <v>0</v>
      </c>
      <c r="H58" s="60">
        <f>IF(COUNTIFS(Table1[ST Jira HOS'#], A58,Table1[Repeating Problem], 'Prioritization Scoring Weights'!$A$28), 'Prioritization Scoring Weights'!$C$28,0)</f>
        <v>0</v>
      </c>
      <c r="I58" s="60">
        <f>SUM(B58,C58,D58,E58,F58, Calc[[#This Row],[Program Dependency]], Calc[[#This Row],[Repeating Problem]])</f>
        <v>13</v>
      </c>
      <c r="J58" t="str">
        <f>IF(I58&gt;='Prioritization Scoring Weights'!$B$37,'Prioritization Scoring Weights'!$C$37,IF(I58&gt;='Prioritization Scoring Weights'!$B$36,'Prioritization Scoring Weights'!$C$36,IF(I58&gt;='Prioritization Scoring Weights'!$B$35,'Prioritization Scoring Weights'!$C$35,IF(I58&gt;='Prioritization Scoring Weights'!$B$34,'Prioritization Scoring Weights'!$C$34,'Prioritization Scoring Weights'!$C$33))))</f>
        <v>Medium</v>
      </c>
    </row>
    <row r="59" spans="1:10" x14ac:dyDescent="0.3">
      <c r="A59" s="127" t="str">
        <f>'Open Defects'!B64</f>
        <v>HOS-8331</v>
      </c>
      <c r="B59">
        <f>IF(COUNTIFS(Table1[ST Jira HOS'#],A59,Table1[Work around?], 'Prioritization Scoring Weights'!$A$3), 'Prioritization Scoring Weights'!$C$3,0)</f>
        <v>0</v>
      </c>
      <c r="C59">
        <f>IF(COUNTIFS(Table1[ST Jira HOS'#],A59, Table1[Number of properties], 'Prioritization Scoring Weights'!$A$7), 'Prioritization Scoring Weights'!$C$7, IF(COUNTIFS(Table1[ST Jira HOS'#],A59, Table1[Number of properties], 'Prioritization Scoring Weights'!$A$8), 'Prioritization Scoring Weights'!$C$8, IF(COUNTIFS(Table1[ST Jira HOS'#], A59, Table1[Number of properties], 'Prioritization Scoring Weights'!$A$9), 'Prioritization Scoring Weights'!$C$9, 0)))</f>
        <v>4</v>
      </c>
      <c r="D59">
        <f>IF(COUNTIFS(Table1[ST Jira HOS'#],A59, Table1[GRR Impact], 'Prioritization Scoring Weights'!$A$12), 'Prioritization Scoring Weights'!$C$12, IF(COUNTIFS(Table1[ST Jira HOS'#], A59, Table1[GRR Impact], 'Prioritization Scoring Weights'!$A$13), 'Prioritization Scoring Weights'!$C$13, IF(COUNTIFS(Table1[ST Jira HOS'#], A59, Table1[GRR Impact], 'Prioritization Scoring Weights'!$A$14), 'Prioritization Scoring Weights'!$C$14, 0)))</f>
        <v>2</v>
      </c>
      <c r="E59">
        <f>IF(COUNTIFS(Table1[ST Jira HOS'#], A59,Table1[Upscale Impact], 'Prioritization Scoring Weights'!$A$17), 'Prioritization Scoring Weights'!$C$17,0)</f>
        <v>2</v>
      </c>
      <c r="F59">
        <f>IF(COUNTIFS(Table1[ST Jira HOS'#], A59, Table1[Guest Satisfaction Impact], 'Prioritization Scoring Weights'!$A$20), 'Prioritization Scoring Weights'!$C$20, IF(COUNTIFS(Table1[ST Jira HOS'#],A59, Table1[Guest Satisfaction Impact], 'Prioritization Scoring Weights'!$A$21), 'Prioritization Scoring Weights'!$C$21, IF(COUNTIFS(Table1[ST Jira HOS'#], A59, Table1[Guest Satisfaction Impact], 'Prioritization Scoring Weights'!$A$22), 'Prioritization Scoring Weights'!$C$22, 0)))</f>
        <v>2</v>
      </c>
      <c r="G59" s="60">
        <f>IF(COUNTIFS(Table1[ST Jira HOS'#], A59,Table1[Program/Function Dependency], 'Prioritization Scoring Weights'!$A$25), 'Prioritization Scoring Weights'!$C$25,0)</f>
        <v>0</v>
      </c>
      <c r="H59" s="60">
        <f>IF(COUNTIFS(Table1[ST Jira HOS'#], A59,Table1[Repeating Problem], 'Prioritization Scoring Weights'!$A$28), 'Prioritization Scoring Weights'!$C$28,0)</f>
        <v>0</v>
      </c>
      <c r="I59" s="60">
        <f>SUM(B59,C59,D59,E59,F59, Calc[[#This Row],[Program Dependency]], Calc[[#This Row],[Repeating Problem]])</f>
        <v>10</v>
      </c>
      <c r="J59" t="str">
        <f>IF(I59&gt;='Prioritization Scoring Weights'!$B$37,'Prioritization Scoring Weights'!$C$37,IF(I59&gt;='Prioritization Scoring Weights'!$B$36,'Prioritization Scoring Weights'!$C$36,IF(I59&gt;='Prioritization Scoring Weights'!$B$35,'Prioritization Scoring Weights'!$C$35,IF(I59&gt;='Prioritization Scoring Weights'!$B$34,'Prioritization Scoring Weights'!$C$34,'Prioritization Scoring Weights'!$C$33))))</f>
        <v>Low</v>
      </c>
    </row>
    <row r="60" spans="1:10" x14ac:dyDescent="0.3">
      <c r="A60" s="127" t="str">
        <f>'Open Defects'!B65</f>
        <v>HOS-11258</v>
      </c>
      <c r="B60">
        <f>IF(COUNTIFS(Table1[ST Jira HOS'#],A60,Table1[Work around?], 'Prioritization Scoring Weights'!$A$3), 'Prioritization Scoring Weights'!$C$3,0)</f>
        <v>4</v>
      </c>
      <c r="C60">
        <f>IF(COUNTIFS(Table1[ST Jira HOS'#],A60, Table1[Number of properties], 'Prioritization Scoring Weights'!$A$7), 'Prioritization Scoring Weights'!$C$7, IF(COUNTIFS(Table1[ST Jira HOS'#],A60, Table1[Number of properties], 'Prioritization Scoring Weights'!$A$8), 'Prioritization Scoring Weights'!$C$8, IF(COUNTIFS(Table1[ST Jira HOS'#], A60, Table1[Number of properties], 'Prioritization Scoring Weights'!$A$9), 'Prioritization Scoring Weights'!$C$9, 0)))</f>
        <v>0</v>
      </c>
      <c r="D60">
        <f>IF(COUNTIFS(Table1[ST Jira HOS'#],A60, Table1[GRR Impact], 'Prioritization Scoring Weights'!$A$12), 'Prioritization Scoring Weights'!$C$12, IF(COUNTIFS(Table1[ST Jira HOS'#], A60, Table1[GRR Impact], 'Prioritization Scoring Weights'!$A$13), 'Prioritization Scoring Weights'!$C$13, IF(COUNTIFS(Table1[ST Jira HOS'#], A60, Table1[GRR Impact], 'Prioritization Scoring Weights'!$A$14), 'Prioritization Scoring Weights'!$C$14, 0)))</f>
        <v>0</v>
      </c>
      <c r="E60">
        <f>IF(COUNTIFS(Table1[ST Jira HOS'#], A60,Table1[Upscale Impact], 'Prioritization Scoring Weights'!$A$17), 'Prioritization Scoring Weights'!$C$17,0)</f>
        <v>0</v>
      </c>
      <c r="F60">
        <f>IF(COUNTIFS(Table1[ST Jira HOS'#], A60, Table1[Guest Satisfaction Impact], 'Prioritization Scoring Weights'!$A$20), 'Prioritization Scoring Weights'!$C$20, IF(COUNTIFS(Table1[ST Jira HOS'#],A60, Table1[Guest Satisfaction Impact], 'Prioritization Scoring Weights'!$A$21), 'Prioritization Scoring Weights'!$C$21, IF(COUNTIFS(Table1[ST Jira HOS'#], A60, Table1[Guest Satisfaction Impact], 'Prioritization Scoring Weights'!$A$22), 'Prioritization Scoring Weights'!$C$22, 0)))</f>
        <v>0</v>
      </c>
      <c r="G60" s="60">
        <f>IF(COUNTIFS(Table1[ST Jira HOS'#], A60,Table1[Program/Function Dependency], 'Prioritization Scoring Weights'!$A$25), 'Prioritization Scoring Weights'!$C$25,0)</f>
        <v>0</v>
      </c>
      <c r="H60" s="60">
        <f>IF(COUNTIFS(Table1[ST Jira HOS'#], A60,Table1[Repeating Problem], 'Prioritization Scoring Weights'!$A$28), 'Prioritization Scoring Weights'!$C$28,0)</f>
        <v>0</v>
      </c>
      <c r="I60" s="60">
        <f>SUM(B60,C60,D60,E60,F60, Calc[[#This Row],[Program Dependency]], Calc[[#This Row],[Repeating Problem]])</f>
        <v>4</v>
      </c>
      <c r="J60" t="str">
        <f>IF(I60&gt;='Prioritization Scoring Weights'!$B$37,'Prioritization Scoring Weights'!$C$37,IF(I60&gt;='Prioritization Scoring Weights'!$B$36,'Prioritization Scoring Weights'!$C$36,IF(I60&gt;='Prioritization Scoring Weights'!$B$35,'Prioritization Scoring Weights'!$C$35,IF(I60&gt;='Prioritization Scoring Weights'!$B$34,'Prioritization Scoring Weights'!$C$34,'Prioritization Scoring Weights'!$C$33))))</f>
        <v>Very Low</v>
      </c>
    </row>
    <row r="61" spans="1:10" x14ac:dyDescent="0.3">
      <c r="A61" s="127" t="str">
        <f>'Open Defects'!B66</f>
        <v>HOS-15547</v>
      </c>
      <c r="B61">
        <f>IF(COUNTIFS(Table1[ST Jira HOS'#],A61,Table1[Work around?], 'Prioritization Scoring Weights'!$A$3), 'Prioritization Scoring Weights'!$C$3,0)</f>
        <v>0</v>
      </c>
      <c r="C61">
        <f>IF(COUNTIFS(Table1[ST Jira HOS'#],A61, Table1[Number of properties], 'Prioritization Scoring Weights'!$A$7), 'Prioritization Scoring Weights'!$C$7, IF(COUNTIFS(Table1[ST Jira HOS'#],A61, Table1[Number of properties], 'Prioritization Scoring Weights'!$A$8), 'Prioritization Scoring Weights'!$C$8, IF(COUNTIFS(Table1[ST Jira HOS'#], A61, Table1[Number of properties], 'Prioritization Scoring Weights'!$A$9), 'Prioritization Scoring Weights'!$C$9, 0)))</f>
        <v>0</v>
      </c>
      <c r="D61">
        <f>IF(COUNTIFS(Table1[ST Jira HOS'#],A61, Table1[GRR Impact], 'Prioritization Scoring Weights'!$A$12), 'Prioritization Scoring Weights'!$C$12, IF(COUNTIFS(Table1[ST Jira HOS'#], A61, Table1[GRR Impact], 'Prioritization Scoring Weights'!$A$13), 'Prioritization Scoring Weights'!$C$13, IF(COUNTIFS(Table1[ST Jira HOS'#], A61, Table1[GRR Impact], 'Prioritization Scoring Weights'!$A$14), 'Prioritization Scoring Weights'!$C$14, 0)))</f>
        <v>0</v>
      </c>
      <c r="E61">
        <f>IF(COUNTIFS(Table1[ST Jira HOS'#], A61,Table1[Upscale Impact], 'Prioritization Scoring Weights'!$A$17), 'Prioritization Scoring Weights'!$C$17,0)</f>
        <v>0</v>
      </c>
      <c r="F61">
        <f>IF(COUNTIFS(Table1[ST Jira HOS'#], A61, Table1[Guest Satisfaction Impact], 'Prioritization Scoring Weights'!$A$20), 'Prioritization Scoring Weights'!$C$20, IF(COUNTIFS(Table1[ST Jira HOS'#],A61, Table1[Guest Satisfaction Impact], 'Prioritization Scoring Weights'!$A$21), 'Prioritization Scoring Weights'!$C$21, IF(COUNTIFS(Table1[ST Jira HOS'#], A61, Table1[Guest Satisfaction Impact], 'Prioritization Scoring Weights'!$A$22), 'Prioritization Scoring Weights'!$C$22, 0)))</f>
        <v>0</v>
      </c>
      <c r="G61" s="60">
        <f>IF(COUNTIFS(Table1[ST Jira HOS'#], A61,Table1[Program/Function Dependency], 'Prioritization Scoring Weights'!$A$25), 'Prioritization Scoring Weights'!$C$25,0)</f>
        <v>0</v>
      </c>
      <c r="H61" s="60">
        <f>IF(COUNTIFS(Table1[ST Jira HOS'#], A61,Table1[Repeating Problem], 'Prioritization Scoring Weights'!$A$28), 'Prioritization Scoring Weights'!$C$28,0)</f>
        <v>0</v>
      </c>
      <c r="I61" s="60">
        <f>SUM(B61,C61,D61,E61,F61, Calc[[#This Row],[Program Dependency]], Calc[[#This Row],[Repeating Problem]])</f>
        <v>0</v>
      </c>
      <c r="J61" t="str">
        <f>IF(I61&gt;='Prioritization Scoring Weights'!$B$37,'Prioritization Scoring Weights'!$C$37,IF(I61&gt;='Prioritization Scoring Weights'!$B$36,'Prioritization Scoring Weights'!$C$36,IF(I61&gt;='Prioritization Scoring Weights'!$B$35,'Prioritization Scoring Weights'!$C$35,IF(I61&gt;='Prioritization Scoring Weights'!$B$34,'Prioritization Scoring Weights'!$C$34,'Prioritization Scoring Weights'!$C$33))))</f>
        <v>Very Low</v>
      </c>
    </row>
    <row r="62" spans="1:10" x14ac:dyDescent="0.3">
      <c r="A62" s="127" t="str">
        <f>'Open Defects'!B67</f>
        <v>HOS-2513</v>
      </c>
      <c r="B62">
        <f>IF(COUNTIFS(Table1[ST Jira HOS'#],A62,Table1[Work around?], 'Prioritization Scoring Weights'!$A$3), 'Prioritization Scoring Weights'!$C$3,0)</f>
        <v>0</v>
      </c>
      <c r="C62">
        <f>IF(COUNTIFS(Table1[ST Jira HOS'#],A62, Table1[Number of properties], 'Prioritization Scoring Weights'!$A$7), 'Prioritization Scoring Weights'!$C$7, IF(COUNTIFS(Table1[ST Jira HOS'#],A62, Table1[Number of properties], 'Prioritization Scoring Weights'!$A$8), 'Prioritization Scoring Weights'!$C$8, IF(COUNTIFS(Table1[ST Jira HOS'#], A62, Table1[Number of properties], 'Prioritization Scoring Weights'!$A$9), 'Prioritization Scoring Weights'!$C$9, 0)))</f>
        <v>0</v>
      </c>
      <c r="D62">
        <f>IF(COUNTIFS(Table1[ST Jira HOS'#],A62, Table1[GRR Impact], 'Prioritization Scoring Weights'!$A$12), 'Prioritization Scoring Weights'!$C$12, IF(COUNTIFS(Table1[ST Jira HOS'#], A62, Table1[GRR Impact], 'Prioritization Scoring Weights'!$A$13), 'Prioritization Scoring Weights'!$C$13, IF(COUNTIFS(Table1[ST Jira HOS'#], A62, Table1[GRR Impact], 'Prioritization Scoring Weights'!$A$14), 'Prioritization Scoring Weights'!$C$14, 0)))</f>
        <v>0</v>
      </c>
      <c r="E62">
        <f>IF(COUNTIFS(Table1[ST Jira HOS'#], A62,Table1[Upscale Impact], 'Prioritization Scoring Weights'!$A$17), 'Prioritization Scoring Weights'!$C$17,0)</f>
        <v>0</v>
      </c>
      <c r="F62">
        <f>IF(COUNTIFS(Table1[ST Jira HOS'#], A62, Table1[Guest Satisfaction Impact], 'Prioritization Scoring Weights'!$A$20), 'Prioritization Scoring Weights'!$C$20, IF(COUNTIFS(Table1[ST Jira HOS'#],A62, Table1[Guest Satisfaction Impact], 'Prioritization Scoring Weights'!$A$21), 'Prioritization Scoring Weights'!$C$21, IF(COUNTIFS(Table1[ST Jira HOS'#], A62, Table1[Guest Satisfaction Impact], 'Prioritization Scoring Weights'!$A$22), 'Prioritization Scoring Weights'!$C$22, 0)))</f>
        <v>0</v>
      </c>
      <c r="G62" s="60">
        <f>IF(COUNTIFS(Table1[ST Jira HOS'#], A62,Table1[Program/Function Dependency], 'Prioritization Scoring Weights'!$A$25), 'Prioritization Scoring Weights'!$C$25,0)</f>
        <v>0</v>
      </c>
      <c r="H62" s="60">
        <f>IF(COUNTIFS(Table1[ST Jira HOS'#], A62,Table1[Repeating Problem], 'Prioritization Scoring Weights'!$A$28), 'Prioritization Scoring Weights'!$C$28,0)</f>
        <v>0</v>
      </c>
      <c r="I62" s="60">
        <f>SUM(B62,C62,D62,E62,F62, Calc[[#This Row],[Program Dependency]], Calc[[#This Row],[Repeating Problem]])</f>
        <v>0</v>
      </c>
      <c r="J62" t="str">
        <f>IF(I62&gt;='Prioritization Scoring Weights'!$B$37,'Prioritization Scoring Weights'!$C$37,IF(I62&gt;='Prioritization Scoring Weights'!$B$36,'Prioritization Scoring Weights'!$C$36,IF(I62&gt;='Prioritization Scoring Weights'!$B$35,'Prioritization Scoring Weights'!$C$35,IF(I62&gt;='Prioritization Scoring Weights'!$B$34,'Prioritization Scoring Weights'!$C$34,'Prioritization Scoring Weights'!$C$33))))</f>
        <v>Very Low</v>
      </c>
    </row>
    <row r="63" spans="1:10" hidden="1" x14ac:dyDescent="0.3">
      <c r="A63" s="127" t="str">
        <f>'Open Defects'!B68</f>
        <v>HOS-17778</v>
      </c>
      <c r="B63">
        <f>IF(COUNTIFS(Table1[ST Jira HOS'#],A63,Table1[Work around?], 'Prioritization Scoring Weights'!$A$3), 'Prioritization Scoring Weights'!$C$3,0)</f>
        <v>0</v>
      </c>
      <c r="C63">
        <f>IF(COUNTIFS(Table1[ST Jira HOS'#],A63, Table1[Number of properties], 'Prioritization Scoring Weights'!$A$7), 'Prioritization Scoring Weights'!$C$7, IF(COUNTIFS(Table1[ST Jira HOS'#],A63, Table1[Number of properties], 'Prioritization Scoring Weights'!$A$8), 'Prioritization Scoring Weights'!$C$8, IF(COUNTIFS(Table1[ST Jira HOS'#], A63, Table1[Number of properties], 'Prioritization Scoring Weights'!$A$9), 'Prioritization Scoring Weights'!$C$9, 0)))</f>
        <v>0</v>
      </c>
      <c r="D63">
        <f>IF(COUNTIFS(Table1[ST Jira HOS'#],A63, Table1[GRR Impact], 'Prioritization Scoring Weights'!$A$12), 'Prioritization Scoring Weights'!$C$12, IF(COUNTIFS(Table1[ST Jira HOS'#], A63, Table1[GRR Impact], 'Prioritization Scoring Weights'!$A$13), 'Prioritization Scoring Weights'!$C$13, IF(COUNTIFS(Table1[ST Jira HOS'#], A63, Table1[GRR Impact], 'Prioritization Scoring Weights'!$A$14), 'Prioritization Scoring Weights'!$C$14, 0)))</f>
        <v>0</v>
      </c>
      <c r="E63">
        <f>IF(COUNTIFS(Table1[ST Jira HOS'#], A63,Table1[Upscale Impact], 'Prioritization Scoring Weights'!$A$17), 'Prioritization Scoring Weights'!$C$17,0)</f>
        <v>0</v>
      </c>
      <c r="F63">
        <f>IF(COUNTIFS(Table1[ST Jira HOS'#], A63, Table1[Guest Satisfaction Impact], 'Prioritization Scoring Weights'!$A$20), 'Prioritization Scoring Weights'!$C$20, IF(COUNTIFS(Table1[ST Jira HOS'#],A63, Table1[Guest Satisfaction Impact], 'Prioritization Scoring Weights'!$A$21), 'Prioritization Scoring Weights'!$C$21, IF(COUNTIFS(Table1[ST Jira HOS'#], A63, Table1[Guest Satisfaction Impact], 'Prioritization Scoring Weights'!$A$22), 'Prioritization Scoring Weights'!$C$22, 0)))</f>
        <v>0</v>
      </c>
      <c r="G63" s="60">
        <f>IF(COUNTIFS(Table1[ST Jira HOS'#], A63,Table1[Program/Function Dependency], 'Prioritization Scoring Weights'!$A$25), 'Prioritization Scoring Weights'!$C$25,0)</f>
        <v>0</v>
      </c>
      <c r="H63" s="60">
        <f>IF(COUNTIFS(Table1[ST Jira HOS'#], A63,Table1[Repeating Problem], 'Prioritization Scoring Weights'!$A$28), 'Prioritization Scoring Weights'!$C$28,0)</f>
        <v>0</v>
      </c>
      <c r="I63" s="60">
        <f>SUM(B63,C63,D63,E63,F63, Calc[[#This Row],[Program Dependency]], Calc[[#This Row],[Repeating Problem]])</f>
        <v>0</v>
      </c>
      <c r="J63" t="str">
        <f>IF(I63&gt;='Prioritization Scoring Weights'!$B$37,'Prioritization Scoring Weights'!$C$37,IF(I63&gt;='Prioritization Scoring Weights'!$B$36,'Prioritization Scoring Weights'!$C$36,IF(I63&gt;='Prioritization Scoring Weights'!$B$35,'Prioritization Scoring Weights'!$C$35,IF(I63&gt;='Prioritization Scoring Weights'!$B$34,'Prioritization Scoring Weights'!$C$34,'Prioritization Scoring Weights'!$C$33))))</f>
        <v>Very Low</v>
      </c>
    </row>
    <row r="64" spans="1:10" hidden="1" x14ac:dyDescent="0.3">
      <c r="A64" s="127" t="str">
        <f>'Open Defects'!B69</f>
        <v>HOS-17769</v>
      </c>
      <c r="B64">
        <f>IF(COUNTIFS(Table1[ST Jira HOS'#],A64,Table1[Work around?], 'Prioritization Scoring Weights'!$A$3), 'Prioritization Scoring Weights'!$C$3,0)</f>
        <v>0</v>
      </c>
      <c r="C64">
        <f>IF(COUNTIFS(Table1[ST Jira HOS'#],A64, Table1[Number of properties], 'Prioritization Scoring Weights'!$A$7), 'Prioritization Scoring Weights'!$C$7, IF(COUNTIFS(Table1[ST Jira HOS'#],A64, Table1[Number of properties], 'Prioritization Scoring Weights'!$A$8), 'Prioritization Scoring Weights'!$C$8, IF(COUNTIFS(Table1[ST Jira HOS'#], A64, Table1[Number of properties], 'Prioritization Scoring Weights'!$A$9), 'Prioritization Scoring Weights'!$C$9, 0)))</f>
        <v>0</v>
      </c>
      <c r="D64">
        <f>IF(COUNTIFS(Table1[ST Jira HOS'#],A64, Table1[GRR Impact], 'Prioritization Scoring Weights'!$A$12), 'Prioritization Scoring Weights'!$C$12, IF(COUNTIFS(Table1[ST Jira HOS'#], A64, Table1[GRR Impact], 'Prioritization Scoring Weights'!$A$13), 'Prioritization Scoring Weights'!$C$13, IF(COUNTIFS(Table1[ST Jira HOS'#], A64, Table1[GRR Impact], 'Prioritization Scoring Weights'!$A$14), 'Prioritization Scoring Weights'!$C$14, 0)))</f>
        <v>0</v>
      </c>
      <c r="E64">
        <f>IF(COUNTIFS(Table1[ST Jira HOS'#], A64,Table1[Upscale Impact], 'Prioritization Scoring Weights'!$A$17), 'Prioritization Scoring Weights'!$C$17,0)</f>
        <v>0</v>
      </c>
      <c r="F64">
        <f>IF(COUNTIFS(Table1[ST Jira HOS'#], A64, Table1[Guest Satisfaction Impact], 'Prioritization Scoring Weights'!$A$20), 'Prioritization Scoring Weights'!$C$20, IF(COUNTIFS(Table1[ST Jira HOS'#],A64, Table1[Guest Satisfaction Impact], 'Prioritization Scoring Weights'!$A$21), 'Prioritization Scoring Weights'!$C$21, IF(COUNTIFS(Table1[ST Jira HOS'#], A64, Table1[Guest Satisfaction Impact], 'Prioritization Scoring Weights'!$A$22), 'Prioritization Scoring Weights'!$C$22, 0)))</f>
        <v>0</v>
      </c>
      <c r="G64" s="60">
        <f>IF(COUNTIFS(Table1[ST Jira HOS'#], A64,Table1[Program/Function Dependency], 'Prioritization Scoring Weights'!$A$25), 'Prioritization Scoring Weights'!$C$25,0)</f>
        <v>0</v>
      </c>
      <c r="H64" s="60">
        <f>IF(COUNTIFS(Table1[ST Jira HOS'#], A64,Table1[Repeating Problem], 'Prioritization Scoring Weights'!$A$28), 'Prioritization Scoring Weights'!$C$28,0)</f>
        <v>0</v>
      </c>
      <c r="I64" s="60">
        <f>SUM(B64,C64,D64,E64,F64, Calc[[#This Row],[Program Dependency]], Calc[[#This Row],[Repeating Problem]])</f>
        <v>0</v>
      </c>
      <c r="J64" t="str">
        <f>IF(I64&gt;='Prioritization Scoring Weights'!$B$37,'Prioritization Scoring Weights'!$C$37,IF(I64&gt;='Prioritization Scoring Weights'!$B$36,'Prioritization Scoring Weights'!$C$36,IF(I64&gt;='Prioritization Scoring Weights'!$B$35,'Prioritization Scoring Weights'!$C$35,IF(I64&gt;='Prioritization Scoring Weights'!$B$34,'Prioritization Scoring Weights'!$C$34,'Prioritization Scoring Weights'!$C$33))))</f>
        <v>Very Low</v>
      </c>
    </row>
    <row r="65" spans="1:10" hidden="1" x14ac:dyDescent="0.3">
      <c r="A65" s="127" t="str">
        <f>'Open Defects'!B70</f>
        <v>HOS-17694</v>
      </c>
      <c r="B65">
        <f>IF(COUNTIFS(Table1[ST Jira HOS'#],A65,Table1[Work around?], 'Prioritization Scoring Weights'!$A$3), 'Prioritization Scoring Weights'!$C$3,0)</f>
        <v>0</v>
      </c>
      <c r="C65">
        <f>IF(COUNTIFS(Table1[ST Jira HOS'#],A65, Table1[Number of properties], 'Prioritization Scoring Weights'!$A$7), 'Prioritization Scoring Weights'!$C$7, IF(COUNTIFS(Table1[ST Jira HOS'#],A65, Table1[Number of properties], 'Prioritization Scoring Weights'!$A$8), 'Prioritization Scoring Weights'!$C$8, IF(COUNTIFS(Table1[ST Jira HOS'#], A65, Table1[Number of properties], 'Prioritization Scoring Weights'!$A$9), 'Prioritization Scoring Weights'!$C$9, 0)))</f>
        <v>0</v>
      </c>
      <c r="D65">
        <f>IF(COUNTIFS(Table1[ST Jira HOS'#],A65, Table1[GRR Impact], 'Prioritization Scoring Weights'!$A$12), 'Prioritization Scoring Weights'!$C$12, IF(COUNTIFS(Table1[ST Jira HOS'#], A65, Table1[GRR Impact], 'Prioritization Scoring Weights'!$A$13), 'Prioritization Scoring Weights'!$C$13, IF(COUNTIFS(Table1[ST Jira HOS'#], A65, Table1[GRR Impact], 'Prioritization Scoring Weights'!$A$14), 'Prioritization Scoring Weights'!$C$14, 0)))</f>
        <v>0</v>
      </c>
      <c r="E65">
        <f>IF(COUNTIFS(Table1[ST Jira HOS'#], A65,Table1[Upscale Impact], 'Prioritization Scoring Weights'!$A$17), 'Prioritization Scoring Weights'!$C$17,0)</f>
        <v>0</v>
      </c>
      <c r="F65">
        <f>IF(COUNTIFS(Table1[ST Jira HOS'#], A65, Table1[Guest Satisfaction Impact], 'Prioritization Scoring Weights'!$A$20), 'Prioritization Scoring Weights'!$C$20, IF(COUNTIFS(Table1[ST Jira HOS'#],A65, Table1[Guest Satisfaction Impact], 'Prioritization Scoring Weights'!$A$21), 'Prioritization Scoring Weights'!$C$21, IF(COUNTIFS(Table1[ST Jira HOS'#], A65, Table1[Guest Satisfaction Impact], 'Prioritization Scoring Weights'!$A$22), 'Prioritization Scoring Weights'!$C$22, 0)))</f>
        <v>0</v>
      </c>
      <c r="G65" s="60">
        <f>IF(COUNTIFS(Table1[ST Jira HOS'#], A65,Table1[Program/Function Dependency], 'Prioritization Scoring Weights'!$A$25), 'Prioritization Scoring Weights'!$C$25,0)</f>
        <v>0</v>
      </c>
      <c r="H65" s="60">
        <f>IF(COUNTIFS(Table1[ST Jira HOS'#], A65,Table1[Repeating Problem], 'Prioritization Scoring Weights'!$A$28), 'Prioritization Scoring Weights'!$C$28,0)</f>
        <v>0</v>
      </c>
      <c r="I65" s="60">
        <f>SUM(B65,C65,D65,E65,F65, Calc[[#This Row],[Program Dependency]], Calc[[#This Row],[Repeating Problem]])</f>
        <v>0</v>
      </c>
      <c r="J65" t="str">
        <f>IF(I65&gt;='Prioritization Scoring Weights'!$B$37,'Prioritization Scoring Weights'!$C$37,IF(I65&gt;='Prioritization Scoring Weights'!$B$36,'Prioritization Scoring Weights'!$C$36,IF(I65&gt;='Prioritization Scoring Weights'!$B$35,'Prioritization Scoring Weights'!$C$35,IF(I65&gt;='Prioritization Scoring Weights'!$B$34,'Prioritization Scoring Weights'!$C$34,'Prioritization Scoring Weights'!$C$33))))</f>
        <v>Very Low</v>
      </c>
    </row>
    <row r="66" spans="1:10" hidden="1" x14ac:dyDescent="0.3">
      <c r="A66" s="127" t="str">
        <f>'Open Defects'!B71</f>
        <v>HOS-17693</v>
      </c>
      <c r="B66">
        <f>IF(COUNTIFS(Table1[ST Jira HOS'#],A66,Table1[Work around?], 'Prioritization Scoring Weights'!$A$3), 'Prioritization Scoring Weights'!$C$3,0)</f>
        <v>0</v>
      </c>
      <c r="C66">
        <f>IF(COUNTIFS(Table1[ST Jira HOS'#],A66, Table1[Number of properties], 'Prioritization Scoring Weights'!$A$7), 'Prioritization Scoring Weights'!$C$7, IF(COUNTIFS(Table1[ST Jira HOS'#],A66, Table1[Number of properties], 'Prioritization Scoring Weights'!$A$8), 'Prioritization Scoring Weights'!$C$8, IF(COUNTIFS(Table1[ST Jira HOS'#], A66, Table1[Number of properties], 'Prioritization Scoring Weights'!$A$9), 'Prioritization Scoring Weights'!$C$9, 0)))</f>
        <v>0</v>
      </c>
      <c r="D66">
        <f>IF(COUNTIFS(Table1[ST Jira HOS'#],A66, Table1[GRR Impact], 'Prioritization Scoring Weights'!$A$12), 'Prioritization Scoring Weights'!$C$12, IF(COUNTIFS(Table1[ST Jira HOS'#], A66, Table1[GRR Impact], 'Prioritization Scoring Weights'!$A$13), 'Prioritization Scoring Weights'!$C$13, IF(COUNTIFS(Table1[ST Jira HOS'#], A66, Table1[GRR Impact], 'Prioritization Scoring Weights'!$A$14), 'Prioritization Scoring Weights'!$C$14, 0)))</f>
        <v>0</v>
      </c>
      <c r="E66">
        <f>IF(COUNTIFS(Table1[ST Jira HOS'#], A66,Table1[Upscale Impact], 'Prioritization Scoring Weights'!$A$17), 'Prioritization Scoring Weights'!$C$17,0)</f>
        <v>0</v>
      </c>
      <c r="F66">
        <f>IF(COUNTIFS(Table1[ST Jira HOS'#], A66, Table1[Guest Satisfaction Impact], 'Prioritization Scoring Weights'!$A$20), 'Prioritization Scoring Weights'!$C$20, IF(COUNTIFS(Table1[ST Jira HOS'#],A66, Table1[Guest Satisfaction Impact], 'Prioritization Scoring Weights'!$A$21), 'Prioritization Scoring Weights'!$C$21, IF(COUNTIFS(Table1[ST Jira HOS'#], A66, Table1[Guest Satisfaction Impact], 'Prioritization Scoring Weights'!$A$22), 'Prioritization Scoring Weights'!$C$22, 0)))</f>
        <v>0</v>
      </c>
      <c r="G66" s="60">
        <f>IF(COUNTIFS(Table1[ST Jira HOS'#], A66,Table1[Program/Function Dependency], 'Prioritization Scoring Weights'!$A$25), 'Prioritization Scoring Weights'!$C$25,0)</f>
        <v>0</v>
      </c>
      <c r="H66" s="60">
        <f>IF(COUNTIFS(Table1[ST Jira HOS'#], A66,Table1[Repeating Problem], 'Prioritization Scoring Weights'!$A$28), 'Prioritization Scoring Weights'!$C$28,0)</f>
        <v>0</v>
      </c>
      <c r="I66" s="60">
        <f>SUM(B66,C66,D66,E66,F66, Calc[[#This Row],[Program Dependency]], Calc[[#This Row],[Repeating Problem]])</f>
        <v>0</v>
      </c>
      <c r="J66" t="str">
        <f>IF(I66&gt;='Prioritization Scoring Weights'!$B$37,'Prioritization Scoring Weights'!$C$37,IF(I66&gt;='Prioritization Scoring Weights'!$B$36,'Prioritization Scoring Weights'!$C$36,IF(I66&gt;='Prioritization Scoring Weights'!$B$35,'Prioritization Scoring Weights'!$C$35,IF(I66&gt;='Prioritization Scoring Weights'!$B$34,'Prioritization Scoring Weights'!$C$34,'Prioritization Scoring Weights'!$C$33))))</f>
        <v>Very Low</v>
      </c>
    </row>
    <row r="67" spans="1:10" hidden="1" x14ac:dyDescent="0.3">
      <c r="A67" s="127" t="str">
        <f>'Open Defects'!B72</f>
        <v>HOS-17707</v>
      </c>
      <c r="B67">
        <f>IF(COUNTIFS(Table1[ST Jira HOS'#],A67,Table1[Work around?], 'Prioritization Scoring Weights'!$A$3), 'Prioritization Scoring Weights'!$C$3,0)</f>
        <v>0</v>
      </c>
      <c r="C67">
        <f>IF(COUNTIFS(Table1[ST Jira HOS'#],A67, Table1[Number of properties], 'Prioritization Scoring Weights'!$A$7), 'Prioritization Scoring Weights'!$C$7, IF(COUNTIFS(Table1[ST Jira HOS'#],A67, Table1[Number of properties], 'Prioritization Scoring Weights'!$A$8), 'Prioritization Scoring Weights'!$C$8, IF(COUNTIFS(Table1[ST Jira HOS'#], A67, Table1[Number of properties], 'Prioritization Scoring Weights'!$A$9), 'Prioritization Scoring Weights'!$C$9, 0)))</f>
        <v>0</v>
      </c>
      <c r="D67">
        <f>IF(COUNTIFS(Table1[ST Jira HOS'#],A67, Table1[GRR Impact], 'Prioritization Scoring Weights'!$A$12), 'Prioritization Scoring Weights'!$C$12, IF(COUNTIFS(Table1[ST Jira HOS'#], A67, Table1[GRR Impact], 'Prioritization Scoring Weights'!$A$13), 'Prioritization Scoring Weights'!$C$13, IF(COUNTIFS(Table1[ST Jira HOS'#], A67, Table1[GRR Impact], 'Prioritization Scoring Weights'!$A$14), 'Prioritization Scoring Weights'!$C$14, 0)))</f>
        <v>0</v>
      </c>
      <c r="E67">
        <f>IF(COUNTIFS(Table1[ST Jira HOS'#], A67,Table1[Upscale Impact], 'Prioritization Scoring Weights'!$A$17), 'Prioritization Scoring Weights'!$C$17,0)</f>
        <v>0</v>
      </c>
      <c r="F67">
        <f>IF(COUNTIFS(Table1[ST Jira HOS'#], A67, Table1[Guest Satisfaction Impact], 'Prioritization Scoring Weights'!$A$20), 'Prioritization Scoring Weights'!$C$20, IF(COUNTIFS(Table1[ST Jira HOS'#],A67, Table1[Guest Satisfaction Impact], 'Prioritization Scoring Weights'!$A$21), 'Prioritization Scoring Weights'!$C$21, IF(COUNTIFS(Table1[ST Jira HOS'#], A67, Table1[Guest Satisfaction Impact], 'Prioritization Scoring Weights'!$A$22), 'Prioritization Scoring Weights'!$C$22, 0)))</f>
        <v>0</v>
      </c>
      <c r="G67" s="60">
        <f>IF(COUNTIFS(Table1[ST Jira HOS'#], A67,Table1[Program/Function Dependency], 'Prioritization Scoring Weights'!$A$25), 'Prioritization Scoring Weights'!$C$25,0)</f>
        <v>0</v>
      </c>
      <c r="H67" s="60">
        <f>IF(COUNTIFS(Table1[ST Jira HOS'#], A67,Table1[Repeating Problem], 'Prioritization Scoring Weights'!$A$28), 'Prioritization Scoring Weights'!$C$28,0)</f>
        <v>0</v>
      </c>
      <c r="I67" s="60">
        <f>SUM(B67,C67,D67,E67,F67, Calc[[#This Row],[Program Dependency]], Calc[[#This Row],[Repeating Problem]])</f>
        <v>0</v>
      </c>
      <c r="J67" t="str">
        <f>IF(I67&gt;='Prioritization Scoring Weights'!$B$37,'Prioritization Scoring Weights'!$C$37,IF(I67&gt;='Prioritization Scoring Weights'!$B$36,'Prioritization Scoring Weights'!$C$36,IF(I67&gt;='Prioritization Scoring Weights'!$B$35,'Prioritization Scoring Weights'!$C$35,IF(I67&gt;='Prioritization Scoring Weights'!$B$34,'Prioritization Scoring Weights'!$C$34,'Prioritization Scoring Weights'!$C$33))))</f>
        <v>Very Low</v>
      </c>
    </row>
    <row r="68" spans="1:10" hidden="1" x14ac:dyDescent="0.3">
      <c r="A68" s="127" t="str">
        <f>'Open Defects'!B73</f>
        <v>HOS-17770</v>
      </c>
      <c r="B68">
        <f>IF(COUNTIFS(Table1[ST Jira HOS'#],A68,Table1[Work around?], 'Prioritization Scoring Weights'!$A$3), 'Prioritization Scoring Weights'!$C$3,0)</f>
        <v>0</v>
      </c>
      <c r="C68">
        <f>IF(COUNTIFS(Table1[ST Jira HOS'#],A68, Table1[Number of properties], 'Prioritization Scoring Weights'!$A$7), 'Prioritization Scoring Weights'!$C$7, IF(COUNTIFS(Table1[ST Jira HOS'#],A68, Table1[Number of properties], 'Prioritization Scoring Weights'!$A$8), 'Prioritization Scoring Weights'!$C$8, IF(COUNTIFS(Table1[ST Jira HOS'#], A68, Table1[Number of properties], 'Prioritization Scoring Weights'!$A$9), 'Prioritization Scoring Weights'!$C$9, 0)))</f>
        <v>0</v>
      </c>
      <c r="D68">
        <f>IF(COUNTIFS(Table1[ST Jira HOS'#],A68, Table1[GRR Impact], 'Prioritization Scoring Weights'!$A$12), 'Prioritization Scoring Weights'!$C$12, IF(COUNTIFS(Table1[ST Jira HOS'#], A68, Table1[GRR Impact], 'Prioritization Scoring Weights'!$A$13), 'Prioritization Scoring Weights'!$C$13, IF(COUNTIFS(Table1[ST Jira HOS'#], A68, Table1[GRR Impact], 'Prioritization Scoring Weights'!$A$14), 'Prioritization Scoring Weights'!$C$14, 0)))</f>
        <v>0</v>
      </c>
      <c r="E68">
        <f>IF(COUNTIFS(Table1[ST Jira HOS'#], A68,Table1[Upscale Impact], 'Prioritization Scoring Weights'!$A$17), 'Prioritization Scoring Weights'!$C$17,0)</f>
        <v>0</v>
      </c>
      <c r="F68">
        <f>IF(COUNTIFS(Table1[ST Jira HOS'#], A68, Table1[Guest Satisfaction Impact], 'Prioritization Scoring Weights'!$A$20), 'Prioritization Scoring Weights'!$C$20, IF(COUNTIFS(Table1[ST Jira HOS'#],A68, Table1[Guest Satisfaction Impact], 'Prioritization Scoring Weights'!$A$21), 'Prioritization Scoring Weights'!$C$21, IF(COUNTIFS(Table1[ST Jira HOS'#], A68, Table1[Guest Satisfaction Impact], 'Prioritization Scoring Weights'!$A$22), 'Prioritization Scoring Weights'!$C$22, 0)))</f>
        <v>0</v>
      </c>
      <c r="G68" s="60">
        <f>IF(COUNTIFS(Table1[ST Jira HOS'#], A68,Table1[Program/Function Dependency], 'Prioritization Scoring Weights'!$A$25), 'Prioritization Scoring Weights'!$C$25,0)</f>
        <v>0</v>
      </c>
      <c r="H68" s="60">
        <f>IF(COUNTIFS(Table1[ST Jira HOS'#], A68,Table1[Repeating Problem], 'Prioritization Scoring Weights'!$A$28), 'Prioritization Scoring Weights'!$C$28,0)</f>
        <v>0</v>
      </c>
      <c r="I68" s="60">
        <f>SUM(B68,C68,D68,E68,F68, Calc[[#This Row],[Program Dependency]], Calc[[#This Row],[Repeating Problem]])</f>
        <v>0</v>
      </c>
      <c r="J68" t="str">
        <f>IF(I68&gt;='Prioritization Scoring Weights'!$B$37,'Prioritization Scoring Weights'!$C$37,IF(I68&gt;='Prioritization Scoring Weights'!$B$36,'Prioritization Scoring Weights'!$C$36,IF(I68&gt;='Prioritization Scoring Weights'!$B$35,'Prioritization Scoring Weights'!$C$35,IF(I68&gt;='Prioritization Scoring Weights'!$B$34,'Prioritization Scoring Weights'!$C$34,'Prioritization Scoring Weights'!$C$33))))</f>
        <v>Very Low</v>
      </c>
    </row>
    <row r="69" spans="1:10" x14ac:dyDescent="0.3">
      <c r="A69" s="127" t="str">
        <f>'Open Defects'!B74</f>
        <v>HOS-2232</v>
      </c>
      <c r="B69">
        <f>IF(COUNTIFS(Table1[ST Jira HOS'#],A69,Table1[Work around?], 'Prioritization Scoring Weights'!$A$3), 'Prioritization Scoring Weights'!$C$3,0)</f>
        <v>0</v>
      </c>
      <c r="C69">
        <f>IF(COUNTIFS(Table1[ST Jira HOS'#],A69, Table1[Number of properties], 'Prioritization Scoring Weights'!$A$7), 'Prioritization Scoring Weights'!$C$7, IF(COUNTIFS(Table1[ST Jira HOS'#],A69, Table1[Number of properties], 'Prioritization Scoring Weights'!$A$8), 'Prioritization Scoring Weights'!$C$8, IF(COUNTIFS(Table1[ST Jira HOS'#], A69, Table1[Number of properties], 'Prioritization Scoring Weights'!$A$9), 'Prioritization Scoring Weights'!$C$9, 0)))</f>
        <v>0</v>
      </c>
      <c r="D69">
        <f>IF(COUNTIFS(Table1[ST Jira HOS'#],A69, Table1[GRR Impact], 'Prioritization Scoring Weights'!$A$12), 'Prioritization Scoring Weights'!$C$12, IF(COUNTIFS(Table1[ST Jira HOS'#], A69, Table1[GRR Impact], 'Prioritization Scoring Weights'!$A$13), 'Prioritization Scoring Weights'!$C$13, IF(COUNTIFS(Table1[ST Jira HOS'#], A69, Table1[GRR Impact], 'Prioritization Scoring Weights'!$A$14), 'Prioritization Scoring Weights'!$C$14, 0)))</f>
        <v>0</v>
      </c>
      <c r="E69">
        <f>IF(COUNTIFS(Table1[ST Jira HOS'#], A69,Table1[Upscale Impact], 'Prioritization Scoring Weights'!$A$17), 'Prioritization Scoring Weights'!$C$17,0)</f>
        <v>0</v>
      </c>
      <c r="F69">
        <f>IF(COUNTIFS(Table1[ST Jira HOS'#], A69, Table1[Guest Satisfaction Impact], 'Prioritization Scoring Weights'!$A$20), 'Prioritization Scoring Weights'!$C$20, IF(COUNTIFS(Table1[ST Jira HOS'#],A69, Table1[Guest Satisfaction Impact], 'Prioritization Scoring Weights'!$A$21), 'Prioritization Scoring Weights'!$C$21, IF(COUNTIFS(Table1[ST Jira HOS'#], A69, Table1[Guest Satisfaction Impact], 'Prioritization Scoring Weights'!$A$22), 'Prioritization Scoring Weights'!$C$22, 0)))</f>
        <v>0</v>
      </c>
      <c r="G69" s="60">
        <f>IF(COUNTIFS(Table1[ST Jira HOS'#], A69,Table1[Program/Function Dependency], 'Prioritization Scoring Weights'!$A$25), 'Prioritization Scoring Weights'!$C$25,0)</f>
        <v>0</v>
      </c>
      <c r="H69" s="60">
        <f>IF(COUNTIFS(Table1[ST Jira HOS'#], A69,Table1[Repeating Problem], 'Prioritization Scoring Weights'!$A$28), 'Prioritization Scoring Weights'!$C$28,0)</f>
        <v>0</v>
      </c>
      <c r="I69" s="60">
        <f>SUM(B69,C69,D69,E69,F69, Calc[[#This Row],[Program Dependency]], Calc[[#This Row],[Repeating Problem]])</f>
        <v>0</v>
      </c>
      <c r="J69" t="str">
        <f>IF(I69&gt;='Prioritization Scoring Weights'!$B$37,'Prioritization Scoring Weights'!$C$37,IF(I69&gt;='Prioritization Scoring Weights'!$B$36,'Prioritization Scoring Weights'!$C$36,IF(I69&gt;='Prioritization Scoring Weights'!$B$35,'Prioritization Scoring Weights'!$C$35,IF(I69&gt;='Prioritization Scoring Weights'!$B$34,'Prioritization Scoring Weights'!$C$34,'Prioritization Scoring Weights'!$C$33))))</f>
        <v>Very Low</v>
      </c>
    </row>
    <row r="70" spans="1:10" x14ac:dyDescent="0.3">
      <c r="A70" s="127" t="str">
        <f>'Open Defects'!B75</f>
        <v>HOS-18066</v>
      </c>
      <c r="B70">
        <f>IF(COUNTIFS(Table1[ST Jira HOS'#],A70,Table1[Work around?], 'Prioritization Scoring Weights'!$A$3), 'Prioritization Scoring Weights'!$C$3,0)</f>
        <v>0</v>
      </c>
      <c r="C70">
        <f>IF(COUNTIFS(Table1[ST Jira HOS'#],A70, Table1[Number of properties], 'Prioritization Scoring Weights'!$A$7), 'Prioritization Scoring Weights'!$C$7, IF(COUNTIFS(Table1[ST Jira HOS'#],A70, Table1[Number of properties], 'Prioritization Scoring Weights'!$A$8), 'Prioritization Scoring Weights'!$C$8, IF(COUNTIFS(Table1[ST Jira HOS'#], A70, Table1[Number of properties], 'Prioritization Scoring Weights'!$A$9), 'Prioritization Scoring Weights'!$C$9, 0)))</f>
        <v>0</v>
      </c>
      <c r="D70">
        <f>IF(COUNTIFS(Table1[ST Jira HOS'#],A70, Table1[GRR Impact], 'Prioritization Scoring Weights'!$A$12), 'Prioritization Scoring Weights'!$C$12, IF(COUNTIFS(Table1[ST Jira HOS'#], A70, Table1[GRR Impact], 'Prioritization Scoring Weights'!$A$13), 'Prioritization Scoring Weights'!$C$13, IF(COUNTIFS(Table1[ST Jira HOS'#], A70, Table1[GRR Impact], 'Prioritization Scoring Weights'!$A$14), 'Prioritization Scoring Weights'!$C$14, 0)))</f>
        <v>0</v>
      </c>
      <c r="E70">
        <f>IF(COUNTIFS(Table1[ST Jira HOS'#], A70,Table1[Upscale Impact], 'Prioritization Scoring Weights'!$A$17), 'Prioritization Scoring Weights'!$C$17,0)</f>
        <v>0</v>
      </c>
      <c r="F70">
        <f>IF(COUNTIFS(Table1[ST Jira HOS'#], A70, Table1[Guest Satisfaction Impact], 'Prioritization Scoring Weights'!$A$20), 'Prioritization Scoring Weights'!$C$20, IF(COUNTIFS(Table1[ST Jira HOS'#],A70, Table1[Guest Satisfaction Impact], 'Prioritization Scoring Weights'!$A$21), 'Prioritization Scoring Weights'!$C$21, IF(COUNTIFS(Table1[ST Jira HOS'#], A70, Table1[Guest Satisfaction Impact], 'Prioritization Scoring Weights'!$A$22), 'Prioritization Scoring Weights'!$C$22, 0)))</f>
        <v>0</v>
      </c>
      <c r="G70" s="60">
        <f>IF(COUNTIFS(Table1[ST Jira HOS'#], A70,Table1[Program/Function Dependency], 'Prioritization Scoring Weights'!$A$25), 'Prioritization Scoring Weights'!$C$25,0)</f>
        <v>0</v>
      </c>
      <c r="H70" s="60">
        <f>IF(COUNTIFS(Table1[ST Jira HOS'#], A70,Table1[Repeating Problem], 'Prioritization Scoring Weights'!$A$28), 'Prioritization Scoring Weights'!$C$28,0)</f>
        <v>0</v>
      </c>
      <c r="I70" s="60">
        <f>SUM(B70,C70,D70,E70,F70, Calc[[#This Row],[Program Dependency]], Calc[[#This Row],[Repeating Problem]])</f>
        <v>0</v>
      </c>
      <c r="J70" t="str">
        <f>IF(I70&gt;='Prioritization Scoring Weights'!$B$37,'Prioritization Scoring Weights'!$C$37,IF(I70&gt;='Prioritization Scoring Weights'!$B$36,'Prioritization Scoring Weights'!$C$36,IF(I70&gt;='Prioritization Scoring Weights'!$B$35,'Prioritization Scoring Weights'!$C$35,IF(I70&gt;='Prioritization Scoring Weights'!$B$34,'Prioritization Scoring Weights'!$C$34,'Prioritization Scoring Weights'!$C$33))))</f>
        <v>Very Low</v>
      </c>
    </row>
    <row r="71" spans="1:10" x14ac:dyDescent="0.3">
      <c r="A71" s="127">
        <f>'Open Defects'!B76</f>
        <v>0</v>
      </c>
      <c r="B71">
        <f>IF(COUNTIFS(Table1[ST Jira HOS'#],A71,Table1[Work around?], 'Prioritization Scoring Weights'!$A$3), 'Prioritization Scoring Weights'!$C$3,0)</f>
        <v>0</v>
      </c>
      <c r="C71">
        <f>IF(COUNTIFS(Table1[ST Jira HOS'#],A71, Table1[Number of properties], 'Prioritization Scoring Weights'!$A$7), 'Prioritization Scoring Weights'!$C$7, IF(COUNTIFS(Table1[ST Jira HOS'#],A71, Table1[Number of properties], 'Prioritization Scoring Weights'!$A$8), 'Prioritization Scoring Weights'!$C$8, IF(COUNTIFS(Table1[ST Jira HOS'#], A71, Table1[Number of properties], 'Prioritization Scoring Weights'!$A$9), 'Prioritization Scoring Weights'!$C$9, 0)))</f>
        <v>0</v>
      </c>
      <c r="D71">
        <f>IF(COUNTIFS(Table1[ST Jira HOS'#],A71, Table1[GRR Impact], 'Prioritization Scoring Weights'!$A$12), 'Prioritization Scoring Weights'!$C$12, IF(COUNTIFS(Table1[ST Jira HOS'#], A71, Table1[GRR Impact], 'Prioritization Scoring Weights'!$A$13), 'Prioritization Scoring Weights'!$C$13, IF(COUNTIFS(Table1[ST Jira HOS'#], A71, Table1[GRR Impact], 'Prioritization Scoring Weights'!$A$14), 'Prioritization Scoring Weights'!$C$14, 0)))</f>
        <v>0</v>
      </c>
      <c r="E71">
        <f>IF(COUNTIFS(Table1[ST Jira HOS'#], A71,Table1[Upscale Impact], 'Prioritization Scoring Weights'!$A$17), 'Prioritization Scoring Weights'!$C$17,0)</f>
        <v>0</v>
      </c>
      <c r="F71">
        <f>IF(COUNTIFS(Table1[ST Jira HOS'#], A71, Table1[Guest Satisfaction Impact], 'Prioritization Scoring Weights'!$A$20), 'Prioritization Scoring Weights'!$C$20, IF(COUNTIFS(Table1[ST Jira HOS'#],A71, Table1[Guest Satisfaction Impact], 'Prioritization Scoring Weights'!$A$21), 'Prioritization Scoring Weights'!$C$21, IF(COUNTIFS(Table1[ST Jira HOS'#], A71, Table1[Guest Satisfaction Impact], 'Prioritization Scoring Weights'!$A$22), 'Prioritization Scoring Weights'!$C$22, 0)))</f>
        <v>0</v>
      </c>
      <c r="G71" s="60">
        <f>IF(COUNTIFS(Table1[ST Jira HOS'#], A71,Table1[Program/Function Dependency], 'Prioritization Scoring Weights'!$A$25), 'Prioritization Scoring Weights'!$C$25,0)</f>
        <v>0</v>
      </c>
      <c r="H71" s="60">
        <f>IF(COUNTIFS(Table1[ST Jira HOS'#], A71,Table1[Repeating Problem], 'Prioritization Scoring Weights'!$A$28), 'Prioritization Scoring Weights'!$C$28,0)</f>
        <v>0</v>
      </c>
      <c r="I71" s="60">
        <f>SUM(B71,C71,D71,E71,F71, Calc[[#This Row],[Program Dependency]], Calc[[#This Row],[Repeating Problem]])</f>
        <v>0</v>
      </c>
      <c r="J71" t="str">
        <f>IF(I71&gt;='Prioritization Scoring Weights'!$B$37,'Prioritization Scoring Weights'!$C$37,IF(I71&gt;='Prioritization Scoring Weights'!$B$36,'Prioritization Scoring Weights'!$C$36,IF(I71&gt;='Prioritization Scoring Weights'!$B$35,'Prioritization Scoring Weights'!$C$35,IF(I71&gt;='Prioritization Scoring Weights'!$B$34,'Prioritization Scoring Weights'!$C$34,'Prioritization Scoring Weights'!$C$33))))</f>
        <v>Very Low</v>
      </c>
    </row>
    <row r="72" spans="1:10" x14ac:dyDescent="0.3">
      <c r="A72" s="127">
        <f>'Open Defects'!B77</f>
        <v>0</v>
      </c>
      <c r="B72">
        <f>IF(COUNTIFS(Table1[ST Jira HOS'#],A72,Table1[Work around?], 'Prioritization Scoring Weights'!$A$3), 'Prioritization Scoring Weights'!$C$3,0)</f>
        <v>0</v>
      </c>
      <c r="C72">
        <f>IF(COUNTIFS(Table1[ST Jira HOS'#],A72, Table1[Number of properties], 'Prioritization Scoring Weights'!$A$7), 'Prioritization Scoring Weights'!$C$7, IF(COUNTIFS(Table1[ST Jira HOS'#],A72, Table1[Number of properties], 'Prioritization Scoring Weights'!$A$8), 'Prioritization Scoring Weights'!$C$8, IF(COUNTIFS(Table1[ST Jira HOS'#], A72, Table1[Number of properties], 'Prioritization Scoring Weights'!$A$9), 'Prioritization Scoring Weights'!$C$9, 0)))</f>
        <v>0</v>
      </c>
      <c r="D72">
        <f>IF(COUNTIFS(Table1[ST Jira HOS'#],A72, Table1[GRR Impact], 'Prioritization Scoring Weights'!$A$12), 'Prioritization Scoring Weights'!$C$12, IF(COUNTIFS(Table1[ST Jira HOS'#], A72, Table1[GRR Impact], 'Prioritization Scoring Weights'!$A$13), 'Prioritization Scoring Weights'!$C$13, IF(COUNTIFS(Table1[ST Jira HOS'#], A72, Table1[GRR Impact], 'Prioritization Scoring Weights'!$A$14), 'Prioritization Scoring Weights'!$C$14, 0)))</f>
        <v>0</v>
      </c>
      <c r="E72">
        <f>IF(COUNTIFS(Table1[ST Jira HOS'#], A72,Table1[Upscale Impact], 'Prioritization Scoring Weights'!$A$17), 'Prioritization Scoring Weights'!$C$17,0)</f>
        <v>0</v>
      </c>
      <c r="F72">
        <f>IF(COUNTIFS(Table1[ST Jira HOS'#], A72, Table1[Guest Satisfaction Impact], 'Prioritization Scoring Weights'!$A$20), 'Prioritization Scoring Weights'!$C$20, IF(COUNTIFS(Table1[ST Jira HOS'#],A72, Table1[Guest Satisfaction Impact], 'Prioritization Scoring Weights'!$A$21), 'Prioritization Scoring Weights'!$C$21, IF(COUNTIFS(Table1[ST Jira HOS'#], A72, Table1[Guest Satisfaction Impact], 'Prioritization Scoring Weights'!$A$22), 'Prioritization Scoring Weights'!$C$22, 0)))</f>
        <v>0</v>
      </c>
      <c r="G72" s="60">
        <f>IF(COUNTIFS(Table1[ST Jira HOS'#], A72,Table1[Program/Function Dependency], 'Prioritization Scoring Weights'!$A$25), 'Prioritization Scoring Weights'!$C$25,0)</f>
        <v>0</v>
      </c>
      <c r="H72" s="60">
        <f>IF(COUNTIFS(Table1[ST Jira HOS'#], A72,Table1[Repeating Problem], 'Prioritization Scoring Weights'!$A$28), 'Prioritization Scoring Weights'!$C$28,0)</f>
        <v>0</v>
      </c>
      <c r="I72" s="60">
        <f>SUM(B72,C72,D72,E72,F72, Calc[[#This Row],[Program Dependency]], Calc[[#This Row],[Repeating Problem]])</f>
        <v>0</v>
      </c>
      <c r="J72" t="str">
        <f>IF(I72&gt;='Prioritization Scoring Weights'!$B$37,'Prioritization Scoring Weights'!$C$37,IF(I72&gt;='Prioritization Scoring Weights'!$B$36,'Prioritization Scoring Weights'!$C$36,IF(I72&gt;='Prioritization Scoring Weights'!$B$35,'Prioritization Scoring Weights'!$C$35,IF(I72&gt;='Prioritization Scoring Weights'!$B$34,'Prioritization Scoring Weights'!$C$34,'Prioritization Scoring Weights'!$C$33))))</f>
        <v>Very Low</v>
      </c>
    </row>
    <row r="73" spans="1:10" x14ac:dyDescent="0.3">
      <c r="A73" s="127">
        <f>'Open Defects'!B78</f>
        <v>0</v>
      </c>
      <c r="B73">
        <f>IF(COUNTIFS(Table1[ST Jira HOS'#],A73,Table1[Work around?], 'Prioritization Scoring Weights'!$A$3), 'Prioritization Scoring Weights'!$C$3,0)</f>
        <v>0</v>
      </c>
      <c r="C73">
        <f>IF(COUNTIFS(Table1[ST Jira HOS'#],A73, Table1[Number of properties], 'Prioritization Scoring Weights'!$A$7), 'Prioritization Scoring Weights'!$C$7, IF(COUNTIFS(Table1[ST Jira HOS'#],A73, Table1[Number of properties], 'Prioritization Scoring Weights'!$A$8), 'Prioritization Scoring Weights'!$C$8, IF(COUNTIFS(Table1[ST Jira HOS'#], A73, Table1[Number of properties], 'Prioritization Scoring Weights'!$A$9), 'Prioritization Scoring Weights'!$C$9, 0)))</f>
        <v>0</v>
      </c>
      <c r="D73">
        <f>IF(COUNTIFS(Table1[ST Jira HOS'#],A73, Table1[GRR Impact], 'Prioritization Scoring Weights'!$A$12), 'Prioritization Scoring Weights'!$C$12, IF(COUNTIFS(Table1[ST Jira HOS'#], A73, Table1[GRR Impact], 'Prioritization Scoring Weights'!$A$13), 'Prioritization Scoring Weights'!$C$13, IF(COUNTIFS(Table1[ST Jira HOS'#], A73, Table1[GRR Impact], 'Prioritization Scoring Weights'!$A$14), 'Prioritization Scoring Weights'!$C$14, 0)))</f>
        <v>0</v>
      </c>
      <c r="E73">
        <f>IF(COUNTIFS(Table1[ST Jira HOS'#], A73,Table1[Upscale Impact], 'Prioritization Scoring Weights'!$A$17), 'Prioritization Scoring Weights'!$C$17,0)</f>
        <v>0</v>
      </c>
      <c r="F73">
        <f>IF(COUNTIFS(Table1[ST Jira HOS'#], A73, Table1[Guest Satisfaction Impact], 'Prioritization Scoring Weights'!$A$20), 'Prioritization Scoring Weights'!$C$20, IF(COUNTIFS(Table1[ST Jira HOS'#],A73, Table1[Guest Satisfaction Impact], 'Prioritization Scoring Weights'!$A$21), 'Prioritization Scoring Weights'!$C$21, IF(COUNTIFS(Table1[ST Jira HOS'#], A73, Table1[Guest Satisfaction Impact], 'Prioritization Scoring Weights'!$A$22), 'Prioritization Scoring Weights'!$C$22, 0)))</f>
        <v>0</v>
      </c>
      <c r="G73" s="60">
        <f>IF(COUNTIFS(Table1[ST Jira HOS'#], A73,Table1[Program/Function Dependency], 'Prioritization Scoring Weights'!$A$25), 'Prioritization Scoring Weights'!$C$25,0)</f>
        <v>0</v>
      </c>
      <c r="H73" s="60">
        <f>IF(COUNTIFS(Table1[ST Jira HOS'#], A73,Table1[Repeating Problem], 'Prioritization Scoring Weights'!$A$28), 'Prioritization Scoring Weights'!$C$28,0)</f>
        <v>0</v>
      </c>
      <c r="I73" s="60">
        <f>SUM(B73,C73,D73,E73,F73, Calc[[#This Row],[Program Dependency]], Calc[[#This Row],[Repeating Problem]])</f>
        <v>0</v>
      </c>
      <c r="J73" t="str">
        <f>IF(I73&gt;='Prioritization Scoring Weights'!$B$37,'Prioritization Scoring Weights'!$C$37,IF(I73&gt;='Prioritization Scoring Weights'!$B$36,'Prioritization Scoring Weights'!$C$36,IF(I73&gt;='Prioritization Scoring Weights'!$B$35,'Prioritization Scoring Weights'!$C$35,IF(I73&gt;='Prioritization Scoring Weights'!$B$34,'Prioritization Scoring Weights'!$C$34,'Prioritization Scoring Weights'!$C$33))))</f>
        <v>Very Low</v>
      </c>
    </row>
    <row r="74" spans="1:10" x14ac:dyDescent="0.3">
      <c r="A74" s="127">
        <f>'Open Defects'!B79</f>
        <v>0</v>
      </c>
      <c r="B74">
        <f>IF(COUNTIFS(Table1[ST Jira HOS'#],A74,Table1[Work around?], 'Prioritization Scoring Weights'!$A$3), 'Prioritization Scoring Weights'!$C$3,0)</f>
        <v>0</v>
      </c>
      <c r="C74">
        <f>IF(COUNTIFS(Table1[ST Jira HOS'#],A74, Table1[Number of properties], 'Prioritization Scoring Weights'!$A$7), 'Prioritization Scoring Weights'!$C$7, IF(COUNTIFS(Table1[ST Jira HOS'#],A74, Table1[Number of properties], 'Prioritization Scoring Weights'!$A$8), 'Prioritization Scoring Weights'!$C$8, IF(COUNTIFS(Table1[ST Jira HOS'#], A74, Table1[Number of properties], 'Prioritization Scoring Weights'!$A$9), 'Prioritization Scoring Weights'!$C$9, 0)))</f>
        <v>0</v>
      </c>
      <c r="D74">
        <f>IF(COUNTIFS(Table1[ST Jira HOS'#],A74, Table1[GRR Impact], 'Prioritization Scoring Weights'!$A$12), 'Prioritization Scoring Weights'!$C$12, IF(COUNTIFS(Table1[ST Jira HOS'#], A74, Table1[GRR Impact], 'Prioritization Scoring Weights'!$A$13), 'Prioritization Scoring Weights'!$C$13, IF(COUNTIFS(Table1[ST Jira HOS'#], A74, Table1[GRR Impact], 'Prioritization Scoring Weights'!$A$14), 'Prioritization Scoring Weights'!$C$14, 0)))</f>
        <v>0</v>
      </c>
      <c r="E74">
        <f>IF(COUNTIFS(Table1[ST Jira HOS'#], A74,Table1[Upscale Impact], 'Prioritization Scoring Weights'!$A$17), 'Prioritization Scoring Weights'!$C$17,0)</f>
        <v>0</v>
      </c>
      <c r="F74">
        <f>IF(COUNTIFS(Table1[ST Jira HOS'#], A74, Table1[Guest Satisfaction Impact], 'Prioritization Scoring Weights'!$A$20), 'Prioritization Scoring Weights'!$C$20, IF(COUNTIFS(Table1[ST Jira HOS'#],A74, Table1[Guest Satisfaction Impact], 'Prioritization Scoring Weights'!$A$21), 'Prioritization Scoring Weights'!$C$21, IF(COUNTIFS(Table1[ST Jira HOS'#], A74, Table1[Guest Satisfaction Impact], 'Prioritization Scoring Weights'!$A$22), 'Prioritization Scoring Weights'!$C$22, 0)))</f>
        <v>0</v>
      </c>
      <c r="G74" s="60">
        <f>IF(COUNTIFS(Table1[ST Jira HOS'#], A74,Table1[Program/Function Dependency], 'Prioritization Scoring Weights'!$A$25), 'Prioritization Scoring Weights'!$C$25,0)</f>
        <v>0</v>
      </c>
      <c r="H74" s="60">
        <f>IF(COUNTIFS(Table1[ST Jira HOS'#], A74,Table1[Repeating Problem], 'Prioritization Scoring Weights'!$A$28), 'Prioritization Scoring Weights'!$C$28,0)</f>
        <v>0</v>
      </c>
      <c r="I74" s="60">
        <f>SUM(B74,C74,D74,E74,F74, Calc[[#This Row],[Program Dependency]], Calc[[#This Row],[Repeating Problem]])</f>
        <v>0</v>
      </c>
      <c r="J74" t="str">
        <f>IF(I74&gt;='Prioritization Scoring Weights'!$B$37,'Prioritization Scoring Weights'!$C$37,IF(I74&gt;='Prioritization Scoring Weights'!$B$36,'Prioritization Scoring Weights'!$C$36,IF(I74&gt;='Prioritization Scoring Weights'!$B$35,'Prioritization Scoring Weights'!$C$35,IF(I74&gt;='Prioritization Scoring Weights'!$B$34,'Prioritization Scoring Weights'!$C$34,'Prioritization Scoring Weights'!$C$33))))</f>
        <v>Very Low</v>
      </c>
    </row>
    <row r="75" spans="1:10" x14ac:dyDescent="0.3">
      <c r="A75" s="127">
        <f>'Open Defects'!B80</f>
        <v>0</v>
      </c>
      <c r="B75">
        <f>IF(COUNTIFS(Table1[ST Jira HOS'#],A75,Table1[Work around?], 'Prioritization Scoring Weights'!$A$3), 'Prioritization Scoring Weights'!$C$3,0)</f>
        <v>0</v>
      </c>
      <c r="C75">
        <f>IF(COUNTIFS(Table1[ST Jira HOS'#],A75, Table1[Number of properties], 'Prioritization Scoring Weights'!$A$7), 'Prioritization Scoring Weights'!$C$7, IF(COUNTIFS(Table1[ST Jira HOS'#],A75, Table1[Number of properties], 'Prioritization Scoring Weights'!$A$8), 'Prioritization Scoring Weights'!$C$8, IF(COUNTIFS(Table1[ST Jira HOS'#], A75, Table1[Number of properties], 'Prioritization Scoring Weights'!$A$9), 'Prioritization Scoring Weights'!$C$9, 0)))</f>
        <v>0</v>
      </c>
      <c r="D75">
        <f>IF(COUNTIFS(Table1[ST Jira HOS'#],A75, Table1[GRR Impact], 'Prioritization Scoring Weights'!$A$12), 'Prioritization Scoring Weights'!$C$12, IF(COUNTIFS(Table1[ST Jira HOS'#], A75, Table1[GRR Impact], 'Prioritization Scoring Weights'!$A$13), 'Prioritization Scoring Weights'!$C$13, IF(COUNTIFS(Table1[ST Jira HOS'#], A75, Table1[GRR Impact], 'Prioritization Scoring Weights'!$A$14), 'Prioritization Scoring Weights'!$C$14, 0)))</f>
        <v>0</v>
      </c>
      <c r="E75">
        <f>IF(COUNTIFS(Table1[ST Jira HOS'#], A75,Table1[Upscale Impact], 'Prioritization Scoring Weights'!$A$17), 'Prioritization Scoring Weights'!$C$17,0)</f>
        <v>0</v>
      </c>
      <c r="F75">
        <f>IF(COUNTIFS(Table1[ST Jira HOS'#], A75, Table1[Guest Satisfaction Impact], 'Prioritization Scoring Weights'!$A$20), 'Prioritization Scoring Weights'!$C$20, IF(COUNTIFS(Table1[ST Jira HOS'#],A75, Table1[Guest Satisfaction Impact], 'Prioritization Scoring Weights'!$A$21), 'Prioritization Scoring Weights'!$C$21, IF(COUNTIFS(Table1[ST Jira HOS'#], A75, Table1[Guest Satisfaction Impact], 'Prioritization Scoring Weights'!$A$22), 'Prioritization Scoring Weights'!$C$22, 0)))</f>
        <v>0</v>
      </c>
      <c r="G75" s="60">
        <f>IF(COUNTIFS(Table1[ST Jira HOS'#], A75,Table1[Program/Function Dependency], 'Prioritization Scoring Weights'!$A$25), 'Prioritization Scoring Weights'!$C$25,0)</f>
        <v>0</v>
      </c>
      <c r="H75" s="60">
        <f>IF(COUNTIFS(Table1[ST Jira HOS'#], A75,Table1[Repeating Problem], 'Prioritization Scoring Weights'!$A$28), 'Prioritization Scoring Weights'!$C$28,0)</f>
        <v>0</v>
      </c>
      <c r="I75" s="60">
        <f>SUM(B75,C75,D75,E75,F75, Calc[[#This Row],[Program Dependency]], Calc[[#This Row],[Repeating Problem]])</f>
        <v>0</v>
      </c>
      <c r="J75" t="str">
        <f>IF(I75&gt;='Prioritization Scoring Weights'!$B$37,'Prioritization Scoring Weights'!$C$37,IF(I75&gt;='Prioritization Scoring Weights'!$B$36,'Prioritization Scoring Weights'!$C$36,IF(I75&gt;='Prioritization Scoring Weights'!$B$35,'Prioritization Scoring Weights'!$C$35,IF(I75&gt;='Prioritization Scoring Weights'!$B$34,'Prioritization Scoring Weights'!$C$34,'Prioritization Scoring Weights'!$C$33))))</f>
        <v>Very Low</v>
      </c>
    </row>
  </sheetData>
  <sheetProtection sort="0" autoFilter="0" pivotTables="0"/>
  <pageMargins left="0.7" right="0.7" top="0.75" bottom="0.75" header="0.3" footer="0.3"/>
  <pageSetup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37"/>
  <sheetViews>
    <sheetView topLeftCell="A4" workbookViewId="0">
      <selection activeCell="F24" sqref="F24"/>
    </sheetView>
  </sheetViews>
  <sheetFormatPr defaultRowHeight="14.4" x14ac:dyDescent="0.3"/>
  <cols>
    <col min="1" max="1" width="22.44140625" bestFit="1" customWidth="1"/>
    <col min="2" max="2" width="6.77734375" bestFit="1" customWidth="1"/>
    <col min="4" max="4" width="10.6640625" bestFit="1" customWidth="1"/>
    <col min="5" max="5" width="12" bestFit="1" customWidth="1"/>
    <col min="8" max="8" width="18.5546875" bestFit="1" customWidth="1"/>
  </cols>
  <sheetData>
    <row r="1" spans="1:6" x14ac:dyDescent="0.3">
      <c r="B1" t="s">
        <v>177</v>
      </c>
      <c r="C1" t="s">
        <v>178</v>
      </c>
      <c r="F1" t="s">
        <v>189</v>
      </c>
    </row>
    <row r="2" spans="1:6" x14ac:dyDescent="0.3">
      <c r="A2" s="42" t="s">
        <v>175</v>
      </c>
      <c r="B2" s="45">
        <v>0.2</v>
      </c>
      <c r="C2">
        <v>20</v>
      </c>
      <c r="E2" t="s">
        <v>139</v>
      </c>
      <c r="F2">
        <f>IF(COUNTIFS(Table1[ST Jira HOS'#], 'Prioritization Scoring Weights'!E2,Table1[Work around?], 'Prioritization Scoring Weights'!$A$3), 'Prioritization Scoring Weights'!$C$3,0)</f>
        <v>4</v>
      </c>
    </row>
    <row r="3" spans="1:6" x14ac:dyDescent="0.3">
      <c r="A3" s="43" t="s">
        <v>201</v>
      </c>
      <c r="B3" s="45">
        <v>0.2</v>
      </c>
      <c r="C3">
        <f>$C$2*B3</f>
        <v>4</v>
      </c>
    </row>
    <row r="4" spans="1:6" x14ac:dyDescent="0.3">
      <c r="A4" s="43" t="s">
        <v>6</v>
      </c>
      <c r="B4" s="45">
        <v>0</v>
      </c>
      <c r="C4">
        <v>0</v>
      </c>
    </row>
    <row r="6" spans="1:6" x14ac:dyDescent="0.3">
      <c r="A6" s="42" t="s">
        <v>194</v>
      </c>
      <c r="B6" s="45">
        <v>0.2</v>
      </c>
      <c r="C6">
        <v>20</v>
      </c>
      <c r="F6">
        <f>IF(COUNTIFS(Table1[ST Jira HOS'#], 'Prioritization Scoring Weights'!$E$2, Table1[Number of properties], 'Prioritization Scoring Weights'!A7), 'Prioritization Scoring Weights'!C7, IF(COUNTIFS(Table1[ST Jira HOS'#], 'Prioritization Scoring Weights'!$E$2, Table1[Number of properties], 'Prioritization Scoring Weights'!A8), 'Prioritization Scoring Weights'!C8, IF(COUNTIFS(Table1[ST Jira HOS'#], 'Prioritization Scoring Weights'!$E$2, Table1[Number of properties], 'Prioritization Scoring Weights'!#REF!), 'Prioritization Scoring Weights'!#REF!, IF(COUNTIFS(Table1[ST Jira HOS'#], 'Prioritization Scoring Weights'!$E$2, Table1[Number of properties], 'Prioritization Scoring Weights'!A9), 'Prioritization Scoring Weights'!C9, 0))))</f>
        <v>4</v>
      </c>
    </row>
    <row r="7" spans="1:6" x14ac:dyDescent="0.3">
      <c r="A7" s="44" t="s">
        <v>179</v>
      </c>
      <c r="B7" s="45">
        <v>0.2</v>
      </c>
      <c r="C7">
        <f>$C$6*B7</f>
        <v>4</v>
      </c>
    </row>
    <row r="8" spans="1:6" x14ac:dyDescent="0.3">
      <c r="A8" s="44" t="s">
        <v>215</v>
      </c>
      <c r="B8" s="45">
        <v>0.15</v>
      </c>
      <c r="C8">
        <f>$C$6*B8</f>
        <v>3</v>
      </c>
    </row>
    <row r="9" spans="1:6" x14ac:dyDescent="0.3">
      <c r="A9" s="44" t="s">
        <v>197</v>
      </c>
      <c r="B9" s="45">
        <v>0.1</v>
      </c>
      <c r="C9">
        <f>$C$6*B9</f>
        <v>2</v>
      </c>
    </row>
    <row r="10" spans="1:6" x14ac:dyDescent="0.3">
      <c r="B10" s="45"/>
    </row>
    <row r="11" spans="1:6" x14ac:dyDescent="0.3">
      <c r="A11" s="42" t="s">
        <v>184</v>
      </c>
      <c r="B11" s="45">
        <v>0.15</v>
      </c>
      <c r="C11">
        <v>20</v>
      </c>
      <c r="F11">
        <f>IF(COUNTIFS(Table1[ST Jira HOS'#], 'Prioritization Scoring Weights'!$E$2, Table1[GRR Impact], 'Prioritization Scoring Weights'!A12), 'Prioritization Scoring Weights'!C12, IF(COUNTIFS(Table1[ST Jira HOS'#], 'Prioritization Scoring Weights'!$E$2, Table1[GRR Impact], 'Prioritization Scoring Weights'!A13), 'Prioritization Scoring Weights'!C13, IF(COUNTIFS(Table1[ST Jira HOS'#], 'Prioritization Scoring Weights'!$E$2, Table1[GRR Impact], 'Prioritization Scoring Weights'!A14), 'Prioritization Scoring Weights'!C14, 0)))</f>
        <v>3</v>
      </c>
    </row>
    <row r="12" spans="1:6" x14ac:dyDescent="0.3">
      <c r="A12" s="44" t="s">
        <v>180</v>
      </c>
      <c r="B12" s="45">
        <v>0.15</v>
      </c>
      <c r="C12">
        <f>$C$11*B12</f>
        <v>3</v>
      </c>
    </row>
    <row r="13" spans="1:6" x14ac:dyDescent="0.3">
      <c r="A13" s="44" t="s">
        <v>182</v>
      </c>
      <c r="B13" s="45">
        <v>0.1</v>
      </c>
      <c r="C13">
        <f t="shared" ref="C13:C14" si="0">$C$11*B13</f>
        <v>2</v>
      </c>
    </row>
    <row r="14" spans="1:6" x14ac:dyDescent="0.3">
      <c r="A14" s="44" t="s">
        <v>181</v>
      </c>
      <c r="B14" s="45">
        <v>0.05</v>
      </c>
      <c r="C14">
        <f t="shared" si="0"/>
        <v>1</v>
      </c>
    </row>
    <row r="15" spans="1:6" x14ac:dyDescent="0.3">
      <c r="A15" s="42"/>
      <c r="B15" s="45"/>
    </row>
    <row r="16" spans="1:6" x14ac:dyDescent="0.3">
      <c r="A16" s="42" t="s">
        <v>185</v>
      </c>
      <c r="B16" s="45">
        <v>0.1</v>
      </c>
      <c r="C16">
        <v>20</v>
      </c>
      <c r="F16">
        <f>IF(COUNTIFS(Table1[ST Jira HOS'#], 'Prioritization Scoring Weights'!E2,Table1[Upscale Impact], 'Prioritization Scoring Weights'!$A$17), 'Prioritization Scoring Weights'!$C$17,0)</f>
        <v>2</v>
      </c>
    </row>
    <row r="17" spans="1:6" x14ac:dyDescent="0.3">
      <c r="A17" s="43" t="s">
        <v>6</v>
      </c>
      <c r="B17" s="45">
        <v>0.1</v>
      </c>
      <c r="C17">
        <f>C16*B17</f>
        <v>2</v>
      </c>
    </row>
    <row r="18" spans="1:6" x14ac:dyDescent="0.3">
      <c r="A18" s="43" t="s">
        <v>201</v>
      </c>
      <c r="B18" s="45">
        <v>0</v>
      </c>
    </row>
    <row r="19" spans="1:6" x14ac:dyDescent="0.3">
      <c r="A19" s="42" t="s">
        <v>186</v>
      </c>
      <c r="B19" s="45">
        <v>0.15</v>
      </c>
      <c r="C19">
        <v>20</v>
      </c>
      <c r="F19">
        <f>IF(COUNTIFS(Table1[ST Jira HOS'#], 'Prioritization Scoring Weights'!$E$2, Table1[Guest Satisfaction Impact], 'Prioritization Scoring Weights'!A20), 'Prioritization Scoring Weights'!C20, IF(COUNTIFS(Table1[ST Jira HOS'#], 'Prioritization Scoring Weights'!$E$2, Table1[Guest Satisfaction Impact], 'Prioritization Scoring Weights'!A21), 'Prioritization Scoring Weights'!C21, IF(COUNTIFS(Table1[ST Jira HOS'#], 'Prioritization Scoring Weights'!$E$2, Table1[Guest Satisfaction Impact], 'Prioritization Scoring Weights'!A22), 'Prioritization Scoring Weights'!C22, 0)))</f>
        <v>1</v>
      </c>
    </row>
    <row r="20" spans="1:6" x14ac:dyDescent="0.3">
      <c r="A20" s="44" t="s">
        <v>180</v>
      </c>
      <c r="B20" s="45">
        <v>0.15</v>
      </c>
      <c r="C20">
        <f>$C$19*B20</f>
        <v>3</v>
      </c>
    </row>
    <row r="21" spans="1:6" x14ac:dyDescent="0.3">
      <c r="A21" s="44" t="s">
        <v>182</v>
      </c>
      <c r="B21" s="45">
        <v>0.1</v>
      </c>
      <c r="C21">
        <f t="shared" ref="C21:C22" si="1">$C$19*B21</f>
        <v>2</v>
      </c>
    </row>
    <row r="22" spans="1:6" x14ac:dyDescent="0.3">
      <c r="A22" s="44" t="s">
        <v>181</v>
      </c>
      <c r="B22" s="45">
        <v>0.05</v>
      </c>
      <c r="C22">
        <f t="shared" si="1"/>
        <v>1</v>
      </c>
    </row>
    <row r="23" spans="1:6" x14ac:dyDescent="0.3">
      <c r="B23" s="45"/>
    </row>
    <row r="24" spans="1:6" x14ac:dyDescent="0.3">
      <c r="A24" s="42" t="s">
        <v>196</v>
      </c>
      <c r="B24" s="45">
        <v>0.1</v>
      </c>
      <c r="C24">
        <v>20</v>
      </c>
      <c r="F24" s="48">
        <f>IF(COUNTIFS(Table1[ST Jira HOS'#], 'Prioritization Scoring Weights'!E2,Table1[Program/Function Dependency], 'Prioritization Scoring Weights'!$A$25), 'Prioritization Scoring Weights'!$C$25,0)</f>
        <v>2</v>
      </c>
    </row>
    <row r="25" spans="1:6" x14ac:dyDescent="0.3">
      <c r="A25" s="44" t="s">
        <v>6</v>
      </c>
      <c r="B25" s="45">
        <v>0.1</v>
      </c>
      <c r="C25">
        <f>C24*B25</f>
        <v>2</v>
      </c>
    </row>
    <row r="26" spans="1:6" x14ac:dyDescent="0.3">
      <c r="A26" s="44" t="s">
        <v>201</v>
      </c>
    </row>
    <row r="27" spans="1:6" x14ac:dyDescent="0.3">
      <c r="A27" s="42" t="s">
        <v>198</v>
      </c>
      <c r="B27" s="45">
        <v>0.1</v>
      </c>
      <c r="C27">
        <v>20</v>
      </c>
      <c r="F27">
        <f>IF(COUNTIFS(Table1[ST Jira HOS'#], 'Prioritization Scoring Weights'!E2,Table1[Repeating Problem], 'Prioritization Scoring Weights'!$A$28), 'Prioritization Scoring Weights'!$C$28,0)</f>
        <v>0</v>
      </c>
    </row>
    <row r="28" spans="1:6" x14ac:dyDescent="0.3">
      <c r="A28" s="44" t="s">
        <v>6</v>
      </c>
      <c r="B28" s="45">
        <v>0.1</v>
      </c>
      <c r="C28">
        <f>B28*C27</f>
        <v>2</v>
      </c>
    </row>
    <row r="29" spans="1:6" x14ac:dyDescent="0.3">
      <c r="A29" s="44" t="s">
        <v>201</v>
      </c>
      <c r="B29" s="45">
        <v>0</v>
      </c>
    </row>
    <row r="30" spans="1:6" x14ac:dyDescent="0.3">
      <c r="A30" s="49" t="s">
        <v>183</v>
      </c>
      <c r="B30" s="45">
        <f>SUM(B2, B6, B11, B16, B19, B24,B27)</f>
        <v>1</v>
      </c>
    </row>
    <row r="31" spans="1:6" x14ac:dyDescent="0.3">
      <c r="A31" t="s">
        <v>187</v>
      </c>
      <c r="D31" t="s">
        <v>200</v>
      </c>
      <c r="F31" s="47">
        <f>SUM(F2, F6, F11, F16, F19, F24, F27)</f>
        <v>16</v>
      </c>
    </row>
    <row r="32" spans="1:6" x14ac:dyDescent="0.3">
      <c r="B32" t="s">
        <v>178</v>
      </c>
    </row>
    <row r="33" spans="2:5" x14ac:dyDescent="0.3">
      <c r="B33">
        <v>0</v>
      </c>
      <c r="C33" t="s">
        <v>188</v>
      </c>
    </row>
    <row r="34" spans="2:5" x14ac:dyDescent="0.3">
      <c r="B34">
        <v>7.5</v>
      </c>
      <c r="C34" t="s">
        <v>181</v>
      </c>
      <c r="D34">
        <f>COUNTIF(Table1[Choice Prioritization Rank], "Low")</f>
        <v>19</v>
      </c>
      <c r="E34" s="101">
        <f>D34/SUM($D$34:$D$37)</f>
        <v>0.44186046511627908</v>
      </c>
    </row>
    <row r="35" spans="2:5" x14ac:dyDescent="0.3">
      <c r="B35">
        <v>12</v>
      </c>
      <c r="C35" t="s">
        <v>182</v>
      </c>
      <c r="D35">
        <f>COUNTIF(Table1[Choice Prioritization Rank], "Medium")</f>
        <v>14</v>
      </c>
      <c r="E35" s="101">
        <f t="shared" ref="E35:E37" si="2">D35/SUM($D$34:$D$37)</f>
        <v>0.32558139534883723</v>
      </c>
    </row>
    <row r="36" spans="2:5" x14ac:dyDescent="0.3">
      <c r="B36">
        <v>14</v>
      </c>
      <c r="C36" t="s">
        <v>180</v>
      </c>
      <c r="D36">
        <f>COUNTIF(Table1[Choice Prioritization Rank], "High")</f>
        <v>6</v>
      </c>
      <c r="E36" s="101">
        <f t="shared" si="2"/>
        <v>0.13953488372093023</v>
      </c>
    </row>
    <row r="37" spans="2:5" x14ac:dyDescent="0.3">
      <c r="B37">
        <v>16</v>
      </c>
      <c r="C37" t="s">
        <v>191</v>
      </c>
      <c r="D37">
        <f>COUNTIF(Table1[Choice Prioritization Rank], "Critical")</f>
        <v>4</v>
      </c>
      <c r="E37" s="101">
        <f t="shared" si="2"/>
        <v>9.3023255813953487E-2</v>
      </c>
    </row>
  </sheetData>
  <sheetProtection algorithmName="SHA-512" hashValue="XDNowrPN1TP00XhK7+Hh12h2tuXkcvM1dbjgEk8MCxbiU3N76ovp+9maa9RXIHJ6k7YyQqVIHEpcSGVL+JT36Q==" saltValue="C3Cw0fjYEG9XB/UJzBO2Lg=="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Data Validation</vt:lpstr>
      <vt:lpstr>Defect Statistics Dashboard</vt:lpstr>
      <vt:lpstr>Age Data (Hidden)</vt:lpstr>
      <vt:lpstr>Dashboard</vt:lpstr>
      <vt:lpstr>Open Defects</vt:lpstr>
      <vt:lpstr>Legend</vt:lpstr>
      <vt:lpstr>Delivered Defects</vt:lpstr>
      <vt:lpstr>Prioritization Calculations</vt:lpstr>
      <vt:lpstr>Prioritization Scoring Weights</vt:lpstr>
    </vt:vector>
  </TitlesOfParts>
  <Company>Choice Hotels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 Abazly;Kevin Hou</dc:creator>
  <cp:lastModifiedBy>Kevin Hou</cp:lastModifiedBy>
  <cp:lastPrinted>2017-01-20T16:00:24Z</cp:lastPrinted>
  <dcterms:created xsi:type="dcterms:W3CDTF">2016-04-20T18:40:34Z</dcterms:created>
  <dcterms:modified xsi:type="dcterms:W3CDTF">2017-02-24T22:37:26Z</dcterms:modified>
</cp:coreProperties>
</file>